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165" windowHeight="3600" firstSheet="6" activeTab="12"/>
  </bookViews>
  <sheets>
    <sheet name="งบทดลอง" sheetId="1" r:id="rId1"/>
    <sheet name="ลูกหนี้เงินกู้" sheetId="2" r:id="rId2"/>
    <sheet name="รายละเอียด" sheetId="3" r:id="rId3"/>
    <sheet name="ค่าปรับ " sheetId="4" r:id="rId4"/>
    <sheet name="ดอกเบี้ย" sheetId="5" r:id="rId5"/>
    <sheet name="งบเงินรับ-จ่าย" sheetId="6" r:id="rId6"/>
    <sheet name="รายละเอียดรายได้" sheetId="7" r:id="rId7"/>
    <sheet name="รายงานกระแสเงินสด" sheetId="8" r:id="rId8"/>
    <sheet name="กระทบยอดเงินฝาก" sheetId="9" r:id="rId9"/>
    <sheet name="จ่ายจากรายรับ" sheetId="10" r:id="rId10"/>
    <sheet name="คงเหลือ" sheetId="11" r:id="rId11"/>
    <sheet name="โอนงบประมาณ" sheetId="12" r:id="rId12"/>
    <sheet name="จ่ายจากเงินสะสม" sheetId="13" r:id="rId13"/>
  </sheets>
  <definedNames>
    <definedName name="_xlnm.Print_Area" localSheetId="0">'งบทดลอง'!$A$1:$D$65</definedName>
    <definedName name="_xlnm.Print_Area" localSheetId="1">'ลูกหนี้เงินกู้'!$A$1:$E$34</definedName>
  </definedNames>
  <calcPr fullCalcOnLoad="1"/>
</workbook>
</file>

<file path=xl/sharedStrings.xml><?xml version="1.0" encoding="utf-8"?>
<sst xmlns="http://schemas.openxmlformats.org/spreadsheetml/2006/main" count="1304" uniqueCount="515">
  <si>
    <t>องค์การบริหารส่วนตำบลละลมใหม่พัฒนา  อำเภอโชคชัย  จังหวัดนครราชสีมา</t>
  </si>
  <si>
    <t>งบทดลอง</t>
  </si>
  <si>
    <t>ชื่อบัญชี</t>
  </si>
  <si>
    <t>รหัสบัญชี</t>
  </si>
  <si>
    <t>เดบิต</t>
  </si>
  <si>
    <t>เครดิต</t>
  </si>
  <si>
    <t>ค่าตอบแทน</t>
  </si>
  <si>
    <t>ค่าใช้สอย</t>
  </si>
  <si>
    <t>ค่าวัสดุ</t>
  </si>
  <si>
    <t>ค่าสาธารณูปโภค</t>
  </si>
  <si>
    <t>เงินสะสม</t>
  </si>
  <si>
    <t>รายรับ</t>
  </si>
  <si>
    <t>เรียน  นายกองค์การบริหารส่วนตำบลละลมใหม่พัฒนา</t>
  </si>
  <si>
    <t xml:space="preserve"> -  เพื่อโปรดทราบ</t>
  </si>
  <si>
    <t>ทราบ</t>
  </si>
  <si>
    <t>นายกองค์การบริหารส่วนตำบลละลมใหม่พัฒนา</t>
  </si>
  <si>
    <t>(  นางพัฒนา               เหมือนจิตต์ )                                           ( นายสนธยา               ภักดีกิจ )</t>
  </si>
  <si>
    <t>บัญชีเงินรับฝาก</t>
  </si>
  <si>
    <t>เงินมัดจำประกันสัญญา</t>
  </si>
  <si>
    <t>เงินส่วนลด 6%</t>
  </si>
  <si>
    <t>รวม</t>
  </si>
  <si>
    <t>รายงาน รับ - จ่าย  เงินสด</t>
  </si>
  <si>
    <t>จนถึงปัจจุบัน</t>
  </si>
  <si>
    <t>ประมาณการ</t>
  </si>
  <si>
    <t>เกิดขึ้นจริง</t>
  </si>
  <si>
    <t>รายการ</t>
  </si>
  <si>
    <t>รหัส</t>
  </si>
  <si>
    <t>บัญชี</t>
  </si>
  <si>
    <t>เดือนนี้</t>
  </si>
  <si>
    <t>(บาท)</t>
  </si>
  <si>
    <t>ยอดยกมา</t>
  </si>
  <si>
    <t>รวมรายรับ</t>
  </si>
  <si>
    <t>งบกลาง</t>
  </si>
  <si>
    <t>เงินอุดหนุน</t>
  </si>
  <si>
    <t>รายจ่าย</t>
  </si>
  <si>
    <t xml:space="preserve">อำเภอโชคชัย  จังหวัดนครราชสีมา      </t>
  </si>
  <si>
    <t xml:space="preserve"> -2-</t>
  </si>
  <si>
    <t>ลูกหนี้เงินยืมเงินงบประมาณ</t>
  </si>
  <si>
    <t>รวมเดือนนี้</t>
  </si>
  <si>
    <t>รวมตั้งแต่ต้นปี</t>
  </si>
  <si>
    <t>รายได้จัดเก็บเอง</t>
  </si>
  <si>
    <t>หมวดภาษีอากร</t>
  </si>
  <si>
    <t>1.  ภาษีโรงเรือนและที่ดิน</t>
  </si>
  <si>
    <t>2.  ภาษีบำรุงท้องที่</t>
  </si>
  <si>
    <t>หมวดค่าธรรมเนียม ค่าปรับ และใบอนุญาต</t>
  </si>
  <si>
    <t>หมวดรายได้จากทรัพย์สิน</t>
  </si>
  <si>
    <t>1.  ดอกเบี้ยเงินฝากธนาคาร</t>
  </si>
  <si>
    <t>หมวดรายได้เบ็ดเตล็ด</t>
  </si>
  <si>
    <t>1.  ค่าขายแบบแปลน</t>
  </si>
  <si>
    <t>หมวดภาษีจัดสรร</t>
  </si>
  <si>
    <t>3.  ภาษีธุรกิจเฉพาะ</t>
  </si>
  <si>
    <t>4.  ภาษีสุรา</t>
  </si>
  <si>
    <t>5.  ภาษีสรรพสามิต</t>
  </si>
  <si>
    <t>รวมรายรับทั้งสิ้น</t>
  </si>
  <si>
    <t>หน้า  2</t>
  </si>
  <si>
    <t>ค่าครุภัณฑ์</t>
  </si>
  <si>
    <t>ค่าที่ดินและสิ่งก่อสร้าง</t>
  </si>
  <si>
    <t>3. ภาษีป้าย</t>
  </si>
  <si>
    <r>
      <t>รายรับ</t>
    </r>
    <r>
      <rPr>
        <sz val="13"/>
        <rFont val="Angsana New"/>
        <family val="1"/>
      </rPr>
      <t xml:space="preserve">     (  หมายเหตุ   1  )</t>
    </r>
  </si>
  <si>
    <t>อบต.ละลมใหม่พัฒนา</t>
  </si>
  <si>
    <t>รายงานกระแสเงินสด</t>
  </si>
  <si>
    <t>ตั้งแต่ต้นปีถึงปัจจุบัน</t>
  </si>
  <si>
    <t xml:space="preserve">           รับเงินรับฝาก</t>
  </si>
  <si>
    <t xml:space="preserve">           จ่ายเงินรับฝาก</t>
  </si>
  <si>
    <t>รับสูง  หรือ  (ต่ำ)  กว่าจ่าย</t>
  </si>
  <si>
    <t>(  นางพัฒนา    เหมือนจิตต์ )                                                        ( นายสนธยา    ภักดีกิจ )</t>
  </si>
  <si>
    <t>องค์การบริหารส่วนตำบลละลมใหม่พัฒนา</t>
  </si>
  <si>
    <t>ธนาคาร  ธกส.  (ออมทรัพย์)  สาขาโชคชัย</t>
  </si>
  <si>
    <t>งบกระทบยอดเงินฝากธนาคาร</t>
  </si>
  <si>
    <r>
      <t>หัก</t>
    </r>
    <r>
      <rPr>
        <b/>
        <sz val="16"/>
        <rFont val="Angsana New"/>
        <family val="1"/>
      </rPr>
      <t xml:space="preserve">  เช็คจ่ายที่ผู้รับเงินยังไม่นำมาขึ้นเงินกับธนาคาร</t>
    </r>
  </si>
  <si>
    <t>ว/ด/ป</t>
  </si>
  <si>
    <t>เลขที่เช็ค</t>
  </si>
  <si>
    <t>จำนวนเงิน</t>
  </si>
  <si>
    <t>ผู้จัดทำ</t>
  </si>
  <si>
    <t>ผู้ตรวจสอบ</t>
  </si>
  <si>
    <t>เงินฝาก ธกส.สาขาโชคชัย (ออมทรัพย์) เลขที่ 01-721-2-49173-3</t>
  </si>
  <si>
    <t xml:space="preserve">เงินฝาก ธนาคาร  ออมสิน  (เผื่อเรียก)   เลขที่ 0-5250073762-3 </t>
  </si>
  <si>
    <t>เงินฝาก ธกส.สาขาโชคชัย (ออมทรัพย์) เลขที่ 01- 721-2-63080-6</t>
  </si>
  <si>
    <t>เงินฝาก ธกส.สาขาโชคชัย (ประจำ) เลขที่ 30-721-4-12488-3</t>
  </si>
  <si>
    <t>เงินทุนโครงการเศรษฐกิจชุมชน</t>
  </si>
  <si>
    <t>บัญชีรายรับ</t>
  </si>
  <si>
    <t>หมวดรายได้จากทุน</t>
  </si>
  <si>
    <t>2. ค่ารับรองสำเนาและถ่ายเอกสาร</t>
  </si>
  <si>
    <t>3. รายได้เบ็ดเตล็ดอื่น ๆ</t>
  </si>
  <si>
    <t>1. ค่าขายทอดตลาดทรัพย์สิน</t>
  </si>
  <si>
    <t>รายได้ที่รัฐบาลเก็บแล้วจัดสรรให้องค์กรปกครองส่วนท้องถิ่น</t>
  </si>
  <si>
    <t>2. ภาษีมูลค่าเพิ่ม 1 ใน 9</t>
  </si>
  <si>
    <t>6.  ค่าภาคหลวงแร่</t>
  </si>
  <si>
    <t>7.  ค่าภาคหลวงปิโตรเลียม</t>
  </si>
  <si>
    <t>รายได้ที่รัฐบาลอุดหนุนให้องค์กรปกครองส่วนท้องถิ่น</t>
  </si>
  <si>
    <t>1.  เงินอุดหนุนทั่วไปสำหรับดำเนินการตามอำนาจหน้าที่และภาระกิจ</t>
  </si>
  <si>
    <t xml:space="preserve">     ถ่ายโอนเลือกทำ</t>
  </si>
  <si>
    <t>รายจ่ายเพื่อให้ได้มาซึ่งบริการ-ค่าจ้างเหมายามเฝ้า อบต.</t>
  </si>
  <si>
    <t>รายจ่ายเพื่อให้ได้มาซึ่งบริการ-ค่าจ้างเหมาแม่บ้าน อบต.</t>
  </si>
  <si>
    <t xml:space="preserve">              ผู้อำนวยการกองคลัง</t>
  </si>
  <si>
    <t>เลขที่บัญชี 01- 721-2-49173-3</t>
  </si>
  <si>
    <t xml:space="preserve">         ผู้อำนวยการกองคลัง                                                         ปลัดองค์การบริหารส่วนตำบล</t>
  </si>
  <si>
    <t xml:space="preserve">          ผู้อำนวยการกองคลัง                                                         ปลัดองค์การบริหารส่วนตำบล</t>
  </si>
  <si>
    <t>เงินสด</t>
  </si>
  <si>
    <t xml:space="preserve">      นักวิชาการเงินและบัญชี</t>
  </si>
  <si>
    <t>กระดาษทำการกระทบยอด</t>
  </si>
  <si>
    <t>00411</t>
  </si>
  <si>
    <t>00110</t>
  </si>
  <si>
    <t>00120</t>
  </si>
  <si>
    <t>00210</t>
  </si>
  <si>
    <t>00220</t>
  </si>
  <si>
    <t>00230</t>
  </si>
  <si>
    <t>00240</t>
  </si>
  <si>
    <t>00260</t>
  </si>
  <si>
    <t>00111</t>
  </si>
  <si>
    <t>00113</t>
  </si>
  <si>
    <t>00123</t>
  </si>
  <si>
    <t>00211</t>
  </si>
  <si>
    <t>00212</t>
  </si>
  <si>
    <t>00221</t>
  </si>
  <si>
    <t>00223</t>
  </si>
  <si>
    <t>00241</t>
  </si>
  <si>
    <t>00242</t>
  </si>
  <si>
    <t>00262</t>
  </si>
  <si>
    <t>00263</t>
  </si>
  <si>
    <t>งบประมาณคงเหลือ</t>
  </si>
  <si>
    <t>00112</t>
  </si>
  <si>
    <t>00231</t>
  </si>
  <si>
    <t>00310</t>
  </si>
  <si>
    <t>00312</t>
  </si>
  <si>
    <t>แผนงาน / งาน</t>
  </si>
  <si>
    <t>หมวด / ประเภทรายจ่าย</t>
  </si>
  <si>
    <t>ลูกหนี้เงินยืมเงินสะสม</t>
  </si>
  <si>
    <t>( นายนำ         ปลอดกระโทก )</t>
  </si>
  <si>
    <t xml:space="preserve">                                       –  ทราบ</t>
  </si>
  <si>
    <t xml:space="preserve">     (  นางพัฒนา     เหมือนจิตต์ )                                                                     ( นายสนธยา         ภักดีกิจ )</t>
  </si>
  <si>
    <t xml:space="preserve">            ผู้อำนวยการกองคลัง                                                                        ปลัดองค์การบริหารส่วนตำบล</t>
  </si>
  <si>
    <t xml:space="preserve">           รับเงินรายรับ</t>
  </si>
  <si>
    <t xml:space="preserve">           จ่ายเงินลูกหนี้เงินยืมเงินสะสม</t>
  </si>
  <si>
    <t xml:space="preserve">           จ่ายเงินรายจ่ายค้างจ่าย</t>
  </si>
  <si>
    <t>( นายนำ  ปลอดกระโทก )</t>
  </si>
  <si>
    <t xml:space="preserve">หมวดเงินอุดหนุนทั่วไป                    </t>
  </si>
  <si>
    <t>ภาษี หัก ณ ที่จ่าย</t>
  </si>
  <si>
    <t>1.  ภาษีมูลค่าเพิ่ม</t>
  </si>
  <si>
    <t>เงินทุนสำรองเงินสะสม</t>
  </si>
  <si>
    <t>เงินรับฝาก(หมายเหตุ 2)</t>
  </si>
  <si>
    <t>8.  ค่าธรรมเนียมจดทะเบียนสิทธิและนิติกรรมที่ดิน  กฎหมายที่ดิน</t>
  </si>
  <si>
    <t>เงินรับฝาก   (  หมายเหตุ   3  )</t>
  </si>
  <si>
    <t>รายจ่ายค้างจ่าย  (  หมายเหตุ   4  )</t>
  </si>
  <si>
    <t>บัญชีรายจ่ายค้างจ่าย</t>
  </si>
  <si>
    <t>สูง / ต่ำกว่า</t>
  </si>
  <si>
    <t>ลำดับที่</t>
  </si>
  <si>
    <t>วัน/เดือน/ ปี</t>
  </si>
  <si>
    <t>สัญญาเลขที่</t>
  </si>
  <si>
    <t>ชื่อกลุ่ม</t>
  </si>
  <si>
    <t>จำนวนเงินกู้</t>
  </si>
  <si>
    <t>ค่าปรับ</t>
  </si>
  <si>
    <t>10/2544</t>
  </si>
  <si>
    <t>กลุ่มเกษตรทำนา บ้านกุดจอกใหญ่</t>
  </si>
  <si>
    <t>12/2544</t>
  </si>
  <si>
    <t>กลุ่มเกษตรกรทำนาปี บ้านกุดจอกน้อย ม.6</t>
  </si>
  <si>
    <t>5/2546</t>
  </si>
  <si>
    <t>กลุ่มไร่นาสวนผสม บ้านคลองยาง ม.9</t>
  </si>
  <si>
    <t>6/2546</t>
  </si>
  <si>
    <t>กลุ่มร้านค้าชุมชนในหมู่บ้าน บ้านกุดจอกน้อย ม.6</t>
  </si>
  <si>
    <t>2/2547</t>
  </si>
  <si>
    <t>กลุ่มเกษตรทำนาปรัง บ้านโคกพลวง ม.12</t>
  </si>
  <si>
    <t>5/2547</t>
  </si>
  <si>
    <t>กลุ่มเครื่องปั้นดินเผา บ้านหนองชุมแสง ม.10</t>
  </si>
  <si>
    <t>7/2547</t>
  </si>
  <si>
    <t>กลุ่มเลี้ยงสุกร  บ้านกุดจอกน้อย ม.6</t>
  </si>
  <si>
    <t>8/2547</t>
  </si>
  <si>
    <t>กลุ่มเลี้ยงสุกร บ้านหนองผักหวาน ม.11</t>
  </si>
  <si>
    <t>2/2548</t>
  </si>
  <si>
    <t>กลุ่มเลี้ยงหมู บ้านคลองยาง ม.9</t>
  </si>
  <si>
    <t>5/2548</t>
  </si>
  <si>
    <t>กลุ่มทำหินทรายบ้านกุดจอกน้อย ม.6</t>
  </si>
  <si>
    <t>10/2548</t>
  </si>
  <si>
    <t>กลุ่มผลิตภัณฑ์เครื่องปั้นดินเผาหนองชุมแสง ม.10</t>
  </si>
  <si>
    <t>5/2549</t>
  </si>
  <si>
    <t>กลุ่มผลิตภัณฑ์เครื่องปั้นดินเผา ม.10</t>
  </si>
  <si>
    <t>18/2549</t>
  </si>
  <si>
    <t>กลุ่มผลิตภัณฑ์เครื่องปั้นดินเผา ม.10 บ้านหนองชุมแสง</t>
  </si>
  <si>
    <t>19/2549</t>
  </si>
  <si>
    <t>3/2550</t>
  </si>
  <si>
    <t>กลุ่มทำหินทราย ม.6</t>
  </si>
  <si>
    <t>5/2550</t>
  </si>
  <si>
    <t>24/2550</t>
  </si>
  <si>
    <t>กลุ่มไร่นาสวนผสม  ม.9</t>
  </si>
  <si>
    <t>25/2550</t>
  </si>
  <si>
    <t>9/2551</t>
  </si>
  <si>
    <t>กลุ่มผลิตภัณฑ์เครื่องปั่นดินเผาบ้านหนองชุมแสง ม.10</t>
  </si>
  <si>
    <t>21/2551</t>
  </si>
  <si>
    <t>22/2551</t>
  </si>
  <si>
    <t>กลุ่มทำหินทราย บ้านหนองผักหวาน ม.11</t>
  </si>
  <si>
    <t>26/2551</t>
  </si>
  <si>
    <t>5/2552</t>
  </si>
  <si>
    <t>กลุ่มเลี้ยงสุกร ม.6 บ้านกุดจอกน้อย</t>
  </si>
  <si>
    <t>11/2552</t>
  </si>
  <si>
    <t>กลุ่มทำหินทราย ม.6 บ้านกุดจอกน้อย</t>
  </si>
  <si>
    <t>25/2552</t>
  </si>
  <si>
    <t>กลุ่มทำหินทราย บ้านกุดจอกน้อย  ม.6</t>
  </si>
  <si>
    <t>27/2552</t>
  </si>
  <si>
    <t xml:space="preserve">กลุ่มทำหินทราย ม.11  บ้านหนองผักหวาน </t>
  </si>
  <si>
    <t>28/2552</t>
  </si>
  <si>
    <t>2/2553</t>
  </si>
  <si>
    <t>กลุ่มเลี้ยงปลาดุกบ่อพลาสติก ม.1</t>
  </si>
  <si>
    <t>3/2553</t>
  </si>
  <si>
    <t xml:space="preserve">กลุ่มเลี้ยงสุกร ม.11 บ้านหนองผักหวาน </t>
  </si>
  <si>
    <t>15/2553</t>
  </si>
  <si>
    <t xml:space="preserve">กลุ่มทำหินทราย ม.6 </t>
  </si>
  <si>
    <t>17/2553</t>
  </si>
  <si>
    <t>กลุ่มปลูกมันสำปะหลังพันธุ์ดี ม.1</t>
  </si>
  <si>
    <t>3/2554</t>
  </si>
  <si>
    <t>กลุ่มเกษตรกรทำไร่มันสำปะหลัง ม.1</t>
  </si>
  <si>
    <t>5/2554</t>
  </si>
  <si>
    <t xml:space="preserve">กลุ่มไร่นาสวนผสม ม.9  บ้านคลองยาง </t>
  </si>
  <si>
    <t>6/2554</t>
  </si>
  <si>
    <t>13/2554</t>
  </si>
  <si>
    <t>กลุ่มหินทราย บ้านกุดจอกน้อย  ม.6</t>
  </si>
  <si>
    <t>14/2554</t>
  </si>
  <si>
    <t>25/2554</t>
  </si>
  <si>
    <t xml:space="preserve"> 3/2555</t>
  </si>
  <si>
    <t xml:space="preserve">กลุ่มไร่นาสวนผสม ม.9  </t>
  </si>
  <si>
    <t xml:space="preserve"> 5/2555</t>
  </si>
  <si>
    <t>กลุ่มทำนาบ้านละลม  ม.1</t>
  </si>
  <si>
    <t xml:space="preserve"> 6/2555</t>
  </si>
  <si>
    <t>กลุ่มทำไร่มันสำปะหลัง  ม.1</t>
  </si>
  <si>
    <t xml:space="preserve"> 7/2555</t>
  </si>
  <si>
    <t>กลุ่มทำนา ม.11  บ้านหนองผักหวาน</t>
  </si>
  <si>
    <t xml:space="preserve"> 8/2555</t>
  </si>
  <si>
    <t>กลุ่มทำเครื่องปั้นดินเผา  ม.10</t>
  </si>
  <si>
    <t xml:space="preserve"> 12/2555</t>
  </si>
  <si>
    <t>กลุ่มหล่อหินทราย  ม.6  บ้านกุดจอกน้อย</t>
  </si>
  <si>
    <t xml:space="preserve"> 13/2555</t>
  </si>
  <si>
    <t>กลุ่มเลี้ยงหมูสุกร  ม.6  บ้านกุดจอกน้อย</t>
  </si>
  <si>
    <t xml:space="preserve">     ....................................................... ผู้จัดทำ                                                .......................................................ผู้สอบทาน</t>
  </si>
  <si>
    <t xml:space="preserve">         (  นางภัทรวดี     ป้อมกระโทก  )                                                               (  นางพัฒนา        เหมือนจิตต์ )    </t>
  </si>
  <si>
    <t xml:space="preserve">            นักวิชาการเงินและบัญชี                                                                                ผู้อำนวยการกองคลัง</t>
  </si>
  <si>
    <t>กลุ่มทำนาบ้านละลม  หมู่  1</t>
  </si>
  <si>
    <t xml:space="preserve">กลุ่มทำนา   ม.  2  บ้านละลม  </t>
  </si>
  <si>
    <t xml:space="preserve">กลุ่มเกษตรกรปลูกมันสำปะหลัง  ม.  2  บ้านละลม  </t>
  </si>
  <si>
    <t>14/2556</t>
  </si>
  <si>
    <t>กลุ่มเกษตรกรทำนาบ้านละลม  หมู่ 2</t>
  </si>
  <si>
    <t>กลุ่มหินทราย  หมู่ที่  3</t>
  </si>
  <si>
    <t>กลุ่มกระยาสาทบ้านละลม  หมู่  3</t>
  </si>
  <si>
    <t>กลุ่มทำไร่มันสำปะหลัง  หมู่  4</t>
  </si>
  <si>
    <t>กลุ่มทำไร่อ้อย  หมู่  4</t>
  </si>
  <si>
    <t>15/2556</t>
  </si>
  <si>
    <t>กลุ่มเกษตรกรบ้านละลม  หมู่  4</t>
  </si>
  <si>
    <t>กลุ่มเกษตรกรปลูกอ้อยหมู่  5  บ้านสระตะหมก</t>
  </si>
  <si>
    <t>2/2556</t>
  </si>
  <si>
    <t>กลุ่มทำหินทรายบ้านกุดจอกน้อย  หมู่  6</t>
  </si>
  <si>
    <t>12/2556</t>
  </si>
  <si>
    <t>กลุ่มหล่อหินทราย  หมู่  6  บ้านกุดจอกน้อย</t>
  </si>
  <si>
    <t>13/2556</t>
  </si>
  <si>
    <t>กลุ่มเลี้ยงสุกร  ม.  6  บ้านกุดจอกน้อย</t>
  </si>
  <si>
    <t>กลุ่มปลูกพืชฤดูแล้ง  ม.12  บ้านโคกพลวง</t>
  </si>
  <si>
    <t>กลุ่มไร่นาสวนผสม  หมู่ 9</t>
  </si>
  <si>
    <t>9/2549</t>
  </si>
  <si>
    <t>กลุ่มผลิตภัณฑ์เครื่องปั่นดินเผาบ้านหนองชุมแสง  หมู่  10</t>
  </si>
  <si>
    <t>กลุ่มผลิตภัณฑ์เครื่องปั่นดินเผา  หมู่  10</t>
  </si>
  <si>
    <t xml:space="preserve">กลุ่มทำเครื่องปั่นดินเผา  ม.10  บ้านหนองชุมแสง  </t>
  </si>
  <si>
    <t>รายละเอียดเงินทุนโครงการเศรษฐกิจชุมชน (หมู่บ้านละแสน) ที่ได้รับจัดสรร</t>
  </si>
  <si>
    <t>หมายเหตุ</t>
  </si>
  <si>
    <t>บ้านละลม  หมู่ที่ 1</t>
  </si>
  <si>
    <t>บ้านละลม  หมู่ที่ 2</t>
  </si>
  <si>
    <t>บ้านละลม  หมู่ที่ 3</t>
  </si>
  <si>
    <t>บ้านละลม  หมู่ที่ 4</t>
  </si>
  <si>
    <t>บ้านสระตะหมก  หมู่ที่ 5</t>
  </si>
  <si>
    <t>บ้านกุดจอกน้อย  หมู่ที่ 6</t>
  </si>
  <si>
    <t>บ้านกุดจอกใหญ่ หมู่ที่ 7 หมู่ที่ 12</t>
  </si>
  <si>
    <t>บ้านคลองกระชาย  หมู่ที่ 8</t>
  </si>
  <si>
    <t>บ้านคลองยาง   หมู่ที่ 9</t>
  </si>
  <si>
    <t>บ้านหนองชุมแสง  หมู่ที่ 10</t>
  </si>
  <si>
    <t>บ้านหนองผักหวาน  หมู่ที่ 11</t>
  </si>
  <si>
    <t xml:space="preserve">                                                   ผู้จัดทำ                                   </t>
  </si>
  <si>
    <t xml:space="preserve">    ผู้สอบทาน</t>
  </si>
  <si>
    <t>(นางภัทรวดี  ป้อมกระโทก)</t>
  </si>
  <si>
    <t xml:space="preserve">  นักวิชาการเงินและบัญชี</t>
  </si>
  <si>
    <t xml:space="preserve">    ผู้อำนวยการกองคลัง</t>
  </si>
  <si>
    <t>บัญชีเงินทุนโครงการเศรษฐกิจชุชน</t>
  </si>
  <si>
    <t>(นางพัฒนา   เหมือนจิตต์ )</t>
  </si>
  <si>
    <t>บัญชีลูกหนี้เงินทุนโครงการเศรษฐกิจชุมชน  อบต.  (หมู่บ้านละแสน)</t>
  </si>
  <si>
    <t>รายละเอียดค่าปรับเงินทุนโครงการเศรษฐกิจชุมชน  อบต.  (หมู่บ้านละแสน)</t>
  </si>
  <si>
    <t>รายละเอียดดอกเบี้ยเงินทุนโครงการเศรษฐกิจชุมชน  อบต.  (หมู่บ้านละแสน)</t>
  </si>
  <si>
    <t>16/2556</t>
  </si>
  <si>
    <t>กลุ่มเลี้ยงหมูบ้านคลองยาง ม.9 (โกรกกัดลิ้น)</t>
  </si>
  <si>
    <t>17/2556</t>
  </si>
  <si>
    <t xml:space="preserve">กลุ่มเลี้ยงหมูบ้านคลองยาง ม.9 </t>
  </si>
  <si>
    <t>18/2556</t>
  </si>
  <si>
    <t>กลุ่มเกษตรกรบ้านโคกพลวง ม.12</t>
  </si>
  <si>
    <t xml:space="preserve">     ....................................................... ผู้จัดทำ                                             ......................................................ผู้สอบทาน          </t>
  </si>
  <si>
    <t xml:space="preserve">            นักวิชาการเงินและบัญชี                                                         ผู้อำนวยการกองคลัง</t>
  </si>
  <si>
    <t xml:space="preserve">         (   นางภัทรวดี     ป้อมกระโทก  )                                           (  นางพัฒนา        เหมือนจิตต์ )           </t>
  </si>
  <si>
    <t xml:space="preserve">  ....................................................... ผู้จัดทำ                           .......................................................ผู้สอบทาน    </t>
  </si>
  <si>
    <t xml:space="preserve"> </t>
  </si>
  <si>
    <t>ดอกเบี้ย</t>
  </si>
  <si>
    <t>20/2556</t>
  </si>
  <si>
    <t>19/2556</t>
  </si>
  <si>
    <t>21/2556</t>
  </si>
  <si>
    <t>511000</t>
  </si>
  <si>
    <t>110300</t>
  </si>
  <si>
    <t>110900</t>
  </si>
  <si>
    <t>111000</t>
  </si>
  <si>
    <t>111100</t>
  </si>
  <si>
    <t>120100</t>
  </si>
  <si>
    <t>521000</t>
  </si>
  <si>
    <t>210100</t>
  </si>
  <si>
    <t>210200</t>
  </si>
  <si>
    <t>210300</t>
  </si>
  <si>
    <t>210400</t>
  </si>
  <si>
    <t>210600</t>
  </si>
  <si>
    <t>210700</t>
  </si>
  <si>
    <t>522000</t>
  </si>
  <si>
    <t>220100</t>
  </si>
  <si>
    <t>220200</t>
  </si>
  <si>
    <t>220300</t>
  </si>
  <si>
    <t>220400</t>
  </si>
  <si>
    <t>220500</t>
  </si>
  <si>
    <t>รายจ่ายงบประมาณ (จ่ายจากรายรับ)</t>
  </si>
  <si>
    <t>220600</t>
  </si>
  <si>
    <t>220700</t>
  </si>
  <si>
    <t>531000</t>
  </si>
  <si>
    <t>310100</t>
  </si>
  <si>
    <t>310300</t>
  </si>
  <si>
    <t>310400</t>
  </si>
  <si>
    <t>310500</t>
  </si>
  <si>
    <t>310600</t>
  </si>
  <si>
    <t>532000</t>
  </si>
  <si>
    <t>320100</t>
  </si>
  <si>
    <t>320200</t>
  </si>
  <si>
    <t>320300</t>
  </si>
  <si>
    <t>320400</t>
  </si>
  <si>
    <t>533000</t>
  </si>
  <si>
    <t>330100</t>
  </si>
  <si>
    <t>330200</t>
  </si>
  <si>
    <t>330300</t>
  </si>
  <si>
    <t>330400</t>
  </si>
  <si>
    <t>330500</t>
  </si>
  <si>
    <t>330600</t>
  </si>
  <si>
    <t>330700</t>
  </si>
  <si>
    <t>330800</t>
  </si>
  <si>
    <t>331000</t>
  </si>
  <si>
    <t>331400</t>
  </si>
  <si>
    <t>331500</t>
  </si>
  <si>
    <t>331600</t>
  </si>
  <si>
    <t>534000</t>
  </si>
  <si>
    <t>340100</t>
  </si>
  <si>
    <t>340200</t>
  </si>
  <si>
    <t>340300</t>
  </si>
  <si>
    <t>340400</t>
  </si>
  <si>
    <t>340500</t>
  </si>
  <si>
    <t>541000</t>
  </si>
  <si>
    <t>410100</t>
  </si>
  <si>
    <t>410500</t>
  </si>
  <si>
    <t>410700</t>
  </si>
  <si>
    <t>410800</t>
  </si>
  <si>
    <t>410900</t>
  </si>
  <si>
    <t>411100</t>
  </si>
  <si>
    <t>411600</t>
  </si>
  <si>
    <t>411800</t>
  </si>
  <si>
    <t>542000</t>
  </si>
  <si>
    <t>420600</t>
  </si>
  <si>
    <t>420700</t>
  </si>
  <si>
    <t>420900</t>
  </si>
  <si>
    <t>561000</t>
  </si>
  <si>
    <t>610100</t>
  </si>
  <si>
    <t>610200</t>
  </si>
  <si>
    <t>610400</t>
  </si>
  <si>
    <t>551000</t>
  </si>
  <si>
    <t>510100</t>
  </si>
  <si>
    <t>00311</t>
  </si>
  <si>
    <t>330900</t>
  </si>
  <si>
    <t>331300</t>
  </si>
  <si>
    <t xml:space="preserve"> 1/2556</t>
  </si>
  <si>
    <t>กลุ่มเลี้ยงจิ้งหรีดบ้านหนองผักหวาน หมู่ 11</t>
  </si>
  <si>
    <t>1/2557</t>
  </si>
  <si>
    <t>กลุ่มทำขนมจีน บ้านหนองผักหวาน หมู่ 11</t>
  </si>
  <si>
    <t>2/2557</t>
  </si>
  <si>
    <t>กลุ่มทำหินทราย หมู่ 11</t>
  </si>
  <si>
    <t>เงินเดือนฝ่ายการเมือง</t>
  </si>
  <si>
    <t>เงินเดือนพนักงานฝ่ายประจำ</t>
  </si>
  <si>
    <t>ค่าจ้างลูกจ้างประจำฝ่ายประจำ</t>
  </si>
  <si>
    <t>ค่าจ้างพนักงานจ้างฝ่ายประจำ</t>
  </si>
  <si>
    <t>ลูกหนี้ภาษีโรงเรือนและที่ดิน</t>
  </si>
  <si>
    <t>ลูกหนี้ภาษีบำรุงท้องที่</t>
  </si>
  <si>
    <t>ลูกหนี้อื่น ๆ-เงินทุนโครงการเศรษฐกิจชุมชน</t>
  </si>
  <si>
    <t>เงินรับฝาก(หมายเหตุ 1)</t>
  </si>
  <si>
    <t>หมวดเงินอุดหนุนทั่วไป</t>
  </si>
  <si>
    <t>411000</t>
  </si>
  <si>
    <t>412000</t>
  </si>
  <si>
    <t>413000</t>
  </si>
  <si>
    <t>415000</t>
  </si>
  <si>
    <t>416000</t>
  </si>
  <si>
    <t>420000</t>
  </si>
  <si>
    <t>431000</t>
  </si>
  <si>
    <t>110605</t>
  </si>
  <si>
    <t>110604</t>
  </si>
  <si>
    <t>230100</t>
  </si>
  <si>
    <t>210403</t>
  </si>
  <si>
    <t>110606</t>
  </si>
  <si>
    <t>ค่าวัสดุงานบ้านงานครัว-ค่าอาหารเสริมนมโรงเรียนเดือน กันยายน 56</t>
  </si>
  <si>
    <t>ค่าวัสดุงานบ้านงานครัว-ค่าอาหารเสริมนมศูนย์พัฒนาเด็กเล็ก อบต. เดือน กันยายน 56</t>
  </si>
  <si>
    <t>ค่าวัสดุงานบ้านงานครัว-ค่าอาหารกลางวันศูนย์พัฒนาเด็กเล็ก อบต. เดือน กันยายน 56</t>
  </si>
  <si>
    <t>ปีงบประมาณ  2557</t>
  </si>
  <si>
    <t>412210</t>
  </si>
  <si>
    <t>412301</t>
  </si>
  <si>
    <t>412303</t>
  </si>
  <si>
    <t>412305</t>
  </si>
  <si>
    <t>412121</t>
  </si>
  <si>
    <t>413003</t>
  </si>
  <si>
    <t>415004</t>
  </si>
  <si>
    <t>415007</t>
  </si>
  <si>
    <t>415999</t>
  </si>
  <si>
    <t>416001</t>
  </si>
  <si>
    <t xml:space="preserve">           รับเงินลูกหนี้อื่น ๆ -  เงินทุนโครงการเศรษฐกิจชุมชน  </t>
  </si>
  <si>
    <t xml:space="preserve">          รับเงินลูกหนี้เงินยืมเงินงบประมาณ</t>
  </si>
  <si>
    <t xml:space="preserve">          จ่ายเงินลูกหนี้อื่น ๆ-เงินทุนโครงการเศรษฐกิจชุมชน</t>
  </si>
  <si>
    <t xml:space="preserve">          จ่ายเงินลูกหนี้เงินยืมเงินงบประมาณ</t>
  </si>
  <si>
    <t>110100</t>
  </si>
  <si>
    <t>เงินฝากธนาคาร กรุงไทย จำกัด (มหาชน)สาขาโชคชัย(ออมทรัพย์) เลขที่ 344-0-48430-0</t>
  </si>
  <si>
    <t>110201</t>
  </si>
  <si>
    <t>110202</t>
  </si>
  <si>
    <t>110601</t>
  </si>
  <si>
    <t>110602</t>
  </si>
  <si>
    <t>400000</t>
  </si>
  <si>
    <t>300000</t>
  </si>
  <si>
    <t>320000</t>
  </si>
  <si>
    <t>บัญชีเงินทุนโครงการเศรษฐกิจชุมชน</t>
  </si>
  <si>
    <t>ลูกหนี้อื่น ๆ-เงินทุนโครงการเศรษฐกิจชุมชน(หมายเหตุ 2)</t>
  </si>
  <si>
    <t>รายจ่ายอื่น</t>
  </si>
  <si>
    <t>210500</t>
  </si>
  <si>
    <t>รายจ่ายรอจ่าย</t>
  </si>
  <si>
    <t>ค่าวัสดุงานบ้านงานครัว-ค่าอาหารกลางวันศูนย์พัฒนาเด็กเล็ก อบต. เดือน ตุลาคม 56</t>
  </si>
  <si>
    <t>3/2557</t>
  </si>
  <si>
    <t>กลุ่มเกษตรกรปลูกผัดเลี้ยงปลา หมู่ 11</t>
  </si>
  <si>
    <t>4/2557</t>
  </si>
  <si>
    <t>กลุ่มปลูกมันสำปะหลัง หมู่ 8</t>
  </si>
  <si>
    <t>5/2557</t>
  </si>
  <si>
    <t>6/2557</t>
  </si>
  <si>
    <t>1. ค่าธรรมเนียมเกี่ยวกับใบอนุญาตการขายสุรา</t>
  </si>
  <si>
    <t>412103</t>
  </si>
  <si>
    <t>3. ค่าธรรมเนียมปิด โปรย ติดตั้งแผ่นป้ายประกาศ</t>
  </si>
  <si>
    <t>4. ค่าธรรมเนียมจดทะเบียนพาณิชย์</t>
  </si>
  <si>
    <t>5. ค่าปรับการผิดสัญญา</t>
  </si>
  <si>
    <t>6. ค่าใบอนุญาตรับทำการเก็บ ขน สิ่งปฏิกูล และขยะมูลฝอย</t>
  </si>
  <si>
    <t>7.ค่าใบอนุญาตประกอบการค้าสำหรับกิจการที่เป็นอันตรายต่อสุขภาพ</t>
  </si>
  <si>
    <t>8. ค่าใบอนุญาตจำหน่ายสินค้าในที่หรือทางสาธารณะ</t>
  </si>
  <si>
    <t>9. ค่าใบอนุญาตเกี่ยวกับการควบคุมอาคาร</t>
  </si>
  <si>
    <t>2  ค่าธรรมเนียมเกี่ยวกับการควบคุมอาคาร</t>
  </si>
  <si>
    <t>ลุกหนี้ภาษีโรงเรือนและที่ดิน</t>
  </si>
  <si>
    <t xml:space="preserve"> ค่าทีดินและสิ่งก่อสร้าง-โครงการซุ้มประตูทางเข้าตำบลละลมใหม่พัฒนา</t>
  </si>
  <si>
    <t xml:space="preserve">           รับเงินลูกหนี้ภาษีโรงเรือนและที่ดิน</t>
  </si>
  <si>
    <t xml:space="preserve">         จ่ายเงินรายจ่าย</t>
  </si>
  <si>
    <t xml:space="preserve">โอนงบประมาณเพิ่ม + </t>
  </si>
  <si>
    <t>โอนงบประมาณลด -</t>
  </si>
  <si>
    <t xml:space="preserve">                                                                           </t>
  </si>
  <si>
    <t xml:space="preserve">                         </t>
  </si>
  <si>
    <t xml:space="preserve">                                                   </t>
  </si>
  <si>
    <t>เงินค่าใช้จ่าย 5%</t>
  </si>
  <si>
    <t>เงินอุดหนุนเฉพาะกิจ-โครงการสร้างหลักประกันด้านรายได้แก่ผู้สูงอายุ</t>
  </si>
  <si>
    <t>เงินอุดหนุนเฉพาะกิจ-โครงการเสริมสร้างสวัสดิดการทางสังคมให้แก่ผู้พิการหรือทุพลภาพ</t>
  </si>
  <si>
    <t>441002</t>
  </si>
  <si>
    <t>7/2557</t>
  </si>
  <si>
    <t>8/2557</t>
  </si>
  <si>
    <t>9/2557</t>
  </si>
  <si>
    <t>หมวดเงินอุดหนุนเฉพาะกิจ</t>
  </si>
  <si>
    <t>1.  โครงการสร้างหลักประกันด้านรายได้แก่ผู้สูงอายุ</t>
  </si>
  <si>
    <t>รายได้ที่รัฐบาลอุดหนุนให้โดยระบุวัตถุประสงค์</t>
  </si>
  <si>
    <t>2. โครงการเสริมสร้างสวัสดิการทางสังคมให้แก่ผู้พิการหรือทุพลภาพ</t>
  </si>
  <si>
    <t>เงินอุดหนุนเฉพาะกิจ-โครงการเสริมสร้างสวัสดิการทางสังคมให้แก่ผู้พิการหรือ</t>
  </si>
  <si>
    <t>ทุพลภาพ</t>
  </si>
  <si>
    <t>30000</t>
  </si>
  <si>
    <t xml:space="preserve">          รับเงินอุดหนุนทั่วไป</t>
  </si>
  <si>
    <t xml:space="preserve">          รับเงินอุดหนุนเฉพาะกิจ</t>
  </si>
  <si>
    <t xml:space="preserve">          รับเงินลูกหนี้เงินยืมเงินสะสม</t>
  </si>
  <si>
    <t xml:space="preserve">           จ่ายเงินอุดหนุนเฉพาะกิจ</t>
  </si>
  <si>
    <t xml:space="preserve">           จ่ายเงินสะสม</t>
  </si>
  <si>
    <t xml:space="preserve">                                                                      </t>
  </si>
  <si>
    <t>เดือน  มกราคม  2557</t>
  </si>
  <si>
    <t>ณ  วันที่  31  มกราคม  2557</t>
  </si>
  <si>
    <t>เงินอุดหนุนฉพาะกิจ-ค่าจ้างพนักงานจ้างศูนย์เด็กเล็ก อบต.</t>
  </si>
  <si>
    <t>441001</t>
  </si>
  <si>
    <t>เงินอุดหนุนเฉาพะกิจ-เงินสมทบกองทุนประกันสังคมศูนย์เด็กเล็ก อบต.</t>
  </si>
  <si>
    <t>เงินอุดหนุนฉพาะกิจ-สำหรับสนับสนุนศูนย์พัฒนาเด็กเล็ก อบต.</t>
  </si>
  <si>
    <t xml:space="preserve">  31  มกราคม  2557</t>
  </si>
  <si>
    <t>หมายเหตุ 1  ประกอบงบทดลอง  ณ  วันที่    31  มกราคม  2557</t>
  </si>
  <si>
    <t>หมายเหตุ 2  ประกอบงบทดลอง  ณ  วันที่    31  มกราคม  2557</t>
  </si>
  <si>
    <t>22/2556</t>
  </si>
  <si>
    <t>10/2557</t>
  </si>
  <si>
    <t>11/2557</t>
  </si>
  <si>
    <t>กลุ่มทำไร่มันสำปะหลัง  หมู่  1</t>
  </si>
  <si>
    <t>12/2557</t>
  </si>
  <si>
    <t>ประจำเดือน  มกราคม  2557</t>
  </si>
  <si>
    <t>เงินอุดหนุนเฉพาะกิจ-ค่าจ้างพนักงานจ้างศูนย์เด็กเล็ก อบต.</t>
  </si>
  <si>
    <t>เงินอุดหนุนเฉพาะกิจ-เงินสมทบกองทุนประกันสังคมศูนย์เด็กเล็ก อบต.</t>
  </si>
  <si>
    <t>เงินอุดหนุนเฉพาะกิจ-สำหรับสนับสนุนศูนย์พัฒนาเด็กเล็ก อบต.</t>
  </si>
  <si>
    <t>411001</t>
  </si>
  <si>
    <t>3.  สำหรับสนับสนุนศูนย์พัฒนาเด็กเล็ก อบต.</t>
  </si>
  <si>
    <t>หมายเหตุ 1 ประกอบรายงานรับ- จ่ายเงินสด ณ วันที่  31  มกราคม  2557</t>
  </si>
  <si>
    <t>วันที่  1  มกราคม  2557  ถึง   31   มกราคม  2557</t>
  </si>
  <si>
    <t>ยอดเงินคงเหลือตามรายงานธนาคาร ณวันที่ 31  มกราคม  2557</t>
  </si>
  <si>
    <t>27 ม.ค. 57</t>
  </si>
  <si>
    <t>3762042</t>
  </si>
  <si>
    <t>30 ม.ค. 57</t>
  </si>
  <si>
    <t>3762044</t>
  </si>
  <si>
    <t>3762045</t>
  </si>
  <si>
    <t>3762047</t>
  </si>
  <si>
    <t>3762049</t>
  </si>
  <si>
    <t>31 ม.ค. 57</t>
  </si>
  <si>
    <t>3762050</t>
  </si>
  <si>
    <t>3762051</t>
  </si>
  <si>
    <t>ยอดเงินคงเหลือตามบัญชี  ณ  วันที่  31  มกราคม  2557</t>
  </si>
  <si>
    <t>(ลงชื่อ)..........................................................วันที่  31  มกราคม  2557</t>
  </si>
  <si>
    <t>(ลงชื่อ)..................................วันที่  31  มกราคม  2557</t>
  </si>
  <si>
    <t>หมายเหตุ 2  ประกอบรายงาน รับ - จ่าย เงินสด  ณ  วันที่  31  มกราคม  2557</t>
  </si>
  <si>
    <t>หมายเหตุ 3  ประกอบรายงาน รับ - จ่าย เงินสด  ณ  วันที่  31  มกราคม  2557</t>
  </si>
  <si>
    <t>หมายเหตุ 4  ประกอบรายงาน รับ - จ่าย เงินสด  ณ  วันที่  31  มกราคม  2557</t>
  </si>
  <si>
    <t>รายจ่าย (จ่ายจากเงินสะสม)</t>
  </si>
</sst>
</file>

<file path=xl/styles.xml><?xml version="1.0" encoding="utf-8"?>
<styleSheet xmlns="http://schemas.openxmlformats.org/spreadsheetml/2006/main">
  <numFmts count="6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\t&quot;฿&quot;#,##0_);\(\t&quot;฿&quot;#,##0\)"/>
    <numFmt numFmtId="204" formatCode="\t&quot;฿&quot;#,##0_);[Red]\(\t&quot;฿&quot;#,##0\)"/>
    <numFmt numFmtId="205" formatCode="\t&quot;฿&quot;#,##0.00_);\(\t&quot;฿&quot;#,##0.00\)"/>
    <numFmt numFmtId="206" formatCode="\t&quot;฿&quot;#,##0.00_);[Red]\(\t&quot;฿&quot;#,##0.00\)"/>
    <numFmt numFmtId="207" formatCode="#,##0.00;[Red]#,##0.00"/>
    <numFmt numFmtId="208" formatCode="&quot;ใช่&quot;;&quot;ใช่&quot;;&quot;ไม่ใช่&quot;"/>
    <numFmt numFmtId="209" formatCode="&quot;จริง&quot;;&quot;จริง&quot;;&quot;เท็จ&quot;"/>
    <numFmt numFmtId="210" formatCode="&quot;เปิด&quot;;&quot;เปิด&quot;;&quot;ปิด&quot;"/>
    <numFmt numFmtId="211" formatCode="[$€-2]\ #,##0.00_);[Red]\([$€-2]\ #,##0.00\)"/>
    <numFmt numFmtId="212" formatCode="\-"/>
    <numFmt numFmtId="213" formatCode="\-\l"/>
    <numFmt numFmtId="214" formatCode="[$-41E]d\ mmmm\ yyyy"/>
    <numFmt numFmtId="215" formatCode="[$-107041E]d\ mmmm\ yyyy;@"/>
    <numFmt numFmtId="216" formatCode="0.0"/>
    <numFmt numFmtId="217" formatCode="#,##0.00000000000"/>
    <numFmt numFmtId="218" formatCode="#,##0.000000000000"/>
    <numFmt numFmtId="219" formatCode="#,##0.0000000000000"/>
    <numFmt numFmtId="220" formatCode="#,##0.00000000000000"/>
    <numFmt numFmtId="221" formatCode="#,##0.0000000000"/>
    <numFmt numFmtId="222" formatCode="#,##0.000000000"/>
    <numFmt numFmtId="223" formatCode="#,##0.00000000"/>
    <numFmt numFmtId="224" formatCode="#,##0.0000000"/>
    <numFmt numFmtId="225" formatCode="#,##0.000000"/>
    <numFmt numFmtId="226" formatCode="#,##0.00000"/>
    <numFmt numFmtId="227" formatCode="#,##0.0000"/>
    <numFmt numFmtId="228" formatCode="#,##0.000"/>
    <numFmt numFmtId="229" formatCode="#,##0.0"/>
    <numFmt numFmtId="230" formatCode="[&lt;=99999999][$-D000000]0\-####\-####;[$-D000000]#\-####\-####"/>
    <numFmt numFmtId="231" formatCode="[$-F800]dddd\,\ mmmm\ dd\,\ yyyy"/>
    <numFmt numFmtId="232" formatCode="_(* #,##0.000_);_(* \(#,##0.000\);_(* &quot;-&quot;??_);_(@_)"/>
    <numFmt numFmtId="233" formatCode="0.000"/>
    <numFmt numFmtId="234" formatCode="_(* #,##0.0000_);_(* \(#,##0.0000\);_(* &quot;-&quot;??_);_(@_)"/>
    <numFmt numFmtId="235" formatCode="[$-107041E]d\ mmm\ yy;@"/>
    <numFmt numFmtId="236" formatCode="[$-1070000]d/m/yy;@"/>
    <numFmt numFmtId="237" formatCode="#,##0_);\(#,##0.00\)"/>
    <numFmt numFmtId="238" formatCode="&quot;$&quot;#,##0.00_);\(&quot;&quot;#,##0.00\)"/>
    <numFmt numFmtId="239" formatCode="mmm\-yyyy"/>
  </numFmts>
  <fonts count="55">
    <font>
      <sz val="10"/>
      <name val="Arial"/>
      <family val="0"/>
    </font>
    <font>
      <sz val="8"/>
      <name val="Arial"/>
      <family val="2"/>
    </font>
    <font>
      <b/>
      <sz val="13"/>
      <name val="TH SarabunPSK"/>
      <family val="2"/>
    </font>
    <font>
      <sz val="13"/>
      <name val="TH SarabunPSK"/>
      <family val="2"/>
    </font>
    <font>
      <b/>
      <sz val="13"/>
      <name val="Angsana New"/>
      <family val="1"/>
    </font>
    <font>
      <sz val="13"/>
      <name val="Angsana New"/>
      <family val="1"/>
    </font>
    <font>
      <u val="single"/>
      <sz val="13"/>
      <name val="Angsana New"/>
      <family val="1"/>
    </font>
    <font>
      <sz val="13"/>
      <color indexed="10"/>
      <name val="Angsana New"/>
      <family val="1"/>
    </font>
    <font>
      <b/>
      <sz val="14"/>
      <name val="Angsana New"/>
      <family val="1"/>
    </font>
    <font>
      <b/>
      <u val="single"/>
      <sz val="14"/>
      <name val="Angsana New"/>
      <family val="1"/>
    </font>
    <font>
      <sz val="14"/>
      <name val="Angsana New"/>
      <family val="1"/>
    </font>
    <font>
      <b/>
      <sz val="16"/>
      <name val="Angsana New"/>
      <family val="1"/>
    </font>
    <font>
      <b/>
      <u val="single"/>
      <sz val="16"/>
      <name val="Angsana New"/>
      <family val="1"/>
    </font>
    <font>
      <b/>
      <sz val="10"/>
      <name val="Angsana New"/>
      <family val="1"/>
    </font>
    <font>
      <sz val="10"/>
      <name val="Angsana New"/>
      <family val="1"/>
    </font>
    <font>
      <b/>
      <sz val="11"/>
      <name val="Angsana New"/>
      <family val="1"/>
    </font>
    <font>
      <b/>
      <sz val="12"/>
      <name val="Angsana New"/>
      <family val="1"/>
    </font>
    <font>
      <b/>
      <u val="single"/>
      <sz val="12"/>
      <name val="Angsana New"/>
      <family val="1"/>
    </font>
    <font>
      <sz val="12"/>
      <name val="Angsana New"/>
      <family val="1"/>
    </font>
    <font>
      <sz val="12"/>
      <name val="TH SarabunPSK"/>
      <family val="2"/>
    </font>
    <font>
      <sz val="16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double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22" borderId="0" applyNumberFormat="0" applyBorder="0" applyAlignment="0" applyProtection="0"/>
    <xf numFmtId="0" fontId="47" fillId="23" borderId="1" applyNumberFormat="0" applyAlignment="0" applyProtection="0"/>
    <xf numFmtId="0" fontId="48" fillId="24" borderId="0" applyNumberFormat="0" applyBorder="0" applyAlignment="0" applyProtection="0"/>
    <xf numFmtId="0" fontId="49" fillId="0" borderId="4" applyNumberFormat="0" applyFill="0" applyAlignment="0" applyProtection="0"/>
    <xf numFmtId="0" fontId="50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51" fillId="20" borderId="5" applyNumberFormat="0" applyAlignment="0" applyProtection="0"/>
    <xf numFmtId="0" fontId="0" fillId="32" borderId="6" applyNumberFormat="0" applyFon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31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194" fontId="3" fillId="0" borderId="0" xfId="33" applyFont="1" applyAlignment="1">
      <alignment horizontal="center"/>
    </xf>
    <xf numFmtId="194" fontId="3" fillId="0" borderId="0" xfId="33" applyFont="1" applyAlignment="1">
      <alignment/>
    </xf>
    <xf numFmtId="194" fontId="2" fillId="0" borderId="0" xfId="33" applyFont="1" applyAlignment="1">
      <alignment/>
    </xf>
    <xf numFmtId="0" fontId="5" fillId="0" borderId="0" xfId="0" applyFont="1" applyAlignment="1">
      <alignment/>
    </xf>
    <xf numFmtId="4" fontId="5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194" fontId="5" fillId="0" borderId="12" xfId="33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4" fontId="5" fillId="0" borderId="0" xfId="0" applyNumberFormat="1" applyFont="1" applyAlignment="1">
      <alignment horizontal="right"/>
    </xf>
    <xf numFmtId="4" fontId="4" fillId="0" borderId="0" xfId="0" applyNumberFormat="1" applyFont="1" applyBorder="1" applyAlignment="1">
      <alignment/>
    </xf>
    <xf numFmtId="43" fontId="5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194" fontId="5" fillId="0" borderId="0" xfId="33" applyFont="1" applyBorder="1" applyAlignment="1">
      <alignment/>
    </xf>
    <xf numFmtId="194" fontId="4" fillId="0" borderId="0" xfId="33" applyFont="1" applyAlignment="1">
      <alignment/>
    </xf>
    <xf numFmtId="194" fontId="4" fillId="0" borderId="0" xfId="33" applyFont="1" applyAlignment="1">
      <alignment horizontal="center"/>
    </xf>
    <xf numFmtId="194" fontId="5" fillId="0" borderId="10" xfId="33" applyFont="1" applyBorder="1" applyAlignment="1">
      <alignment horizontal="center"/>
    </xf>
    <xf numFmtId="194" fontId="5" fillId="0" borderId="11" xfId="33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94" fontId="5" fillId="0" borderId="14" xfId="33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94" fontId="5" fillId="0" borderId="11" xfId="33" applyFont="1" applyBorder="1" applyAlignment="1">
      <alignment/>
    </xf>
    <xf numFmtId="0" fontId="6" fillId="0" borderId="0" xfId="0" applyFont="1" applyAlignment="1">
      <alignment/>
    </xf>
    <xf numFmtId="0" fontId="5" fillId="0" borderId="12" xfId="0" applyFont="1" applyBorder="1" applyAlignment="1">
      <alignment/>
    </xf>
    <xf numFmtId="194" fontId="5" fillId="0" borderId="12" xfId="0" applyNumberFormat="1" applyFont="1" applyBorder="1" applyAlignment="1">
      <alignment/>
    </xf>
    <xf numFmtId="194" fontId="5" fillId="0" borderId="12" xfId="33" applyFont="1" applyBorder="1" applyAlignment="1">
      <alignment horizontal="center"/>
    </xf>
    <xf numFmtId="194" fontId="5" fillId="0" borderId="10" xfId="0" applyNumberFormat="1" applyFont="1" applyBorder="1" applyAlignment="1">
      <alignment/>
    </xf>
    <xf numFmtId="194" fontId="5" fillId="0" borderId="10" xfId="33" applyFont="1" applyBorder="1" applyAlignment="1">
      <alignment/>
    </xf>
    <xf numFmtId="194" fontId="7" fillId="0" borderId="12" xfId="33" applyFont="1" applyBorder="1" applyAlignment="1">
      <alignment/>
    </xf>
    <xf numFmtId="194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/>
    </xf>
    <xf numFmtId="194" fontId="5" fillId="0" borderId="11" xfId="0" applyNumberFormat="1" applyFont="1" applyBorder="1" applyAlignment="1">
      <alignment/>
    </xf>
    <xf numFmtId="0" fontId="6" fillId="0" borderId="16" xfId="0" applyFont="1" applyBorder="1" applyAlignment="1">
      <alignment/>
    </xf>
    <xf numFmtId="194" fontId="5" fillId="0" borderId="12" xfId="0" applyNumberFormat="1" applyFont="1" applyBorder="1" applyAlignment="1">
      <alignment horizontal="center"/>
    </xf>
    <xf numFmtId="194" fontId="5" fillId="0" borderId="10" xfId="0" applyNumberFormat="1" applyFont="1" applyBorder="1" applyAlignment="1">
      <alignment horizontal="center"/>
    </xf>
    <xf numFmtId="194" fontId="5" fillId="0" borderId="17" xfId="0" applyNumberFormat="1" applyFont="1" applyBorder="1" applyAlignment="1">
      <alignment/>
    </xf>
    <xf numFmtId="194" fontId="5" fillId="0" borderId="0" xfId="33" applyFont="1" applyAlignment="1">
      <alignment horizontal="center"/>
    </xf>
    <xf numFmtId="0" fontId="5" fillId="0" borderId="0" xfId="0" applyFont="1" applyAlignment="1">
      <alignment horizontal="left" indent="3"/>
    </xf>
    <xf numFmtId="194" fontId="5" fillId="0" borderId="0" xfId="33" applyFont="1" applyAlignment="1">
      <alignment/>
    </xf>
    <xf numFmtId="207" fontId="4" fillId="0" borderId="0" xfId="33" applyNumberFormat="1" applyFont="1" applyAlignment="1">
      <alignment/>
    </xf>
    <xf numFmtId="194" fontId="5" fillId="0" borderId="0" xfId="33" applyFont="1" applyAlignment="1">
      <alignment horizontal="left"/>
    </xf>
    <xf numFmtId="194" fontId="4" fillId="0" borderId="0" xfId="33" applyFont="1" applyAlignment="1">
      <alignment/>
    </xf>
    <xf numFmtId="0" fontId="8" fillId="33" borderId="10" xfId="0" applyFont="1" applyFill="1" applyBorder="1" applyAlignment="1">
      <alignment horizontal="center"/>
    </xf>
    <xf numFmtId="194" fontId="10" fillId="0" borderId="11" xfId="33" applyFont="1" applyBorder="1" applyAlignment="1">
      <alignment horizontal="right"/>
    </xf>
    <xf numFmtId="194" fontId="10" fillId="0" borderId="12" xfId="33" applyFont="1" applyBorder="1" applyAlignment="1">
      <alignment horizontal="right"/>
    </xf>
    <xf numFmtId="0" fontId="10" fillId="0" borderId="12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10" fillId="0" borderId="0" xfId="0" applyFont="1" applyAlignment="1">
      <alignment/>
    </xf>
    <xf numFmtId="194" fontId="10" fillId="33" borderId="17" xfId="33" applyFont="1" applyFill="1" applyBorder="1" applyAlignment="1">
      <alignment horizontal="right"/>
    </xf>
    <xf numFmtId="0" fontId="9" fillId="0" borderId="11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10" fillId="0" borderId="0" xfId="0" applyFont="1" applyAlignment="1">
      <alignment horizontal="right"/>
    </xf>
    <xf numFmtId="0" fontId="11" fillId="0" borderId="16" xfId="0" applyFont="1" applyBorder="1" applyAlignment="1">
      <alignment/>
    </xf>
    <xf numFmtId="43" fontId="11" fillId="0" borderId="16" xfId="0" applyNumberFormat="1" applyFont="1" applyBorder="1" applyAlignment="1">
      <alignment/>
    </xf>
    <xf numFmtId="0" fontId="11" fillId="0" borderId="18" xfId="0" applyFont="1" applyBorder="1" applyAlignment="1">
      <alignment horizontal="center"/>
    </xf>
    <xf numFmtId="0" fontId="11" fillId="0" borderId="0" xfId="0" applyFont="1" applyAlignment="1">
      <alignment/>
    </xf>
    <xf numFmtId="43" fontId="11" fillId="0" borderId="0" xfId="0" applyNumberFormat="1" applyFont="1" applyAlignment="1">
      <alignment/>
    </xf>
    <xf numFmtId="0" fontId="11" fillId="0" borderId="0" xfId="0" applyFont="1" applyBorder="1" applyAlignment="1">
      <alignment/>
    </xf>
    <xf numFmtId="0" fontId="11" fillId="0" borderId="19" xfId="0" applyFont="1" applyBorder="1" applyAlignment="1">
      <alignment/>
    </xf>
    <xf numFmtId="0" fontId="11" fillId="0" borderId="0" xfId="0" applyFont="1" applyAlignment="1">
      <alignment/>
    </xf>
    <xf numFmtId="43" fontId="11" fillId="0" borderId="19" xfId="0" applyNumberFormat="1" applyFont="1" applyBorder="1" applyAlignment="1">
      <alignment horizontal="center"/>
    </xf>
    <xf numFmtId="43" fontId="11" fillId="0" borderId="19" xfId="0" applyNumberFormat="1" applyFont="1" applyBorder="1" applyAlignment="1">
      <alignment/>
    </xf>
    <xf numFmtId="43" fontId="11" fillId="0" borderId="0" xfId="0" applyNumberFormat="1" applyFont="1" applyBorder="1" applyAlignment="1">
      <alignment/>
    </xf>
    <xf numFmtId="43" fontId="11" fillId="0" borderId="15" xfId="0" applyNumberFormat="1" applyFont="1" applyBorder="1" applyAlignment="1">
      <alignment/>
    </xf>
    <xf numFmtId="0" fontId="11" fillId="0" borderId="16" xfId="0" applyFont="1" applyBorder="1" applyAlignment="1">
      <alignment/>
    </xf>
    <xf numFmtId="43" fontId="11" fillId="0" borderId="13" xfId="0" applyNumberFormat="1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18" xfId="0" applyFont="1" applyBorder="1" applyAlignment="1">
      <alignment/>
    </xf>
    <xf numFmtId="43" fontId="11" fillId="0" borderId="18" xfId="0" applyNumberFormat="1" applyFont="1" applyBorder="1" applyAlignment="1">
      <alignment/>
    </xf>
    <xf numFmtId="4" fontId="5" fillId="0" borderId="20" xfId="0" applyNumberFormat="1" applyFont="1" applyBorder="1" applyAlignment="1">
      <alignment horizontal="center"/>
    </xf>
    <xf numFmtId="0" fontId="4" fillId="0" borderId="0" xfId="0" applyFont="1" applyAlignment="1">
      <alignment/>
    </xf>
    <xf numFmtId="4" fontId="5" fillId="0" borderId="19" xfId="0" applyNumberFormat="1" applyFont="1" applyBorder="1" applyAlignment="1">
      <alignment/>
    </xf>
    <xf numFmtId="4" fontId="5" fillId="0" borderId="12" xfId="0" applyNumberFormat="1" applyFont="1" applyBorder="1" applyAlignment="1">
      <alignment horizontal="right"/>
    </xf>
    <xf numFmtId="194" fontId="4" fillId="0" borderId="10" xfId="0" applyNumberFormat="1" applyFont="1" applyBorder="1" applyAlignment="1">
      <alignment/>
    </xf>
    <xf numFmtId="49" fontId="4" fillId="0" borderId="12" xfId="0" applyNumberFormat="1" applyFont="1" applyBorder="1" applyAlignment="1">
      <alignment horizontal="center"/>
    </xf>
    <xf numFmtId="194" fontId="4" fillId="0" borderId="10" xfId="33" applyFont="1" applyBorder="1" applyAlignment="1">
      <alignment/>
    </xf>
    <xf numFmtId="194" fontId="4" fillId="0" borderId="12" xfId="0" applyNumberFormat="1" applyFont="1" applyBorder="1" applyAlignment="1">
      <alignment/>
    </xf>
    <xf numFmtId="194" fontId="5" fillId="0" borderId="0" xfId="33" applyFont="1" applyAlignment="1">
      <alignment horizontal="right"/>
    </xf>
    <xf numFmtId="49" fontId="5" fillId="0" borderId="14" xfId="0" applyNumberFormat="1" applyFont="1" applyBorder="1" applyAlignment="1">
      <alignment horizontal="center"/>
    </xf>
    <xf numFmtId="194" fontId="5" fillId="0" borderId="14" xfId="33" applyFont="1" applyBorder="1" applyAlignment="1">
      <alignment/>
    </xf>
    <xf numFmtId="194" fontId="5" fillId="0" borderId="12" xfId="33" applyFont="1" applyBorder="1" applyAlignment="1">
      <alignment horizontal="right"/>
    </xf>
    <xf numFmtId="194" fontId="10" fillId="0" borderId="21" xfId="33" applyFont="1" applyBorder="1" applyAlignment="1">
      <alignment horizontal="right"/>
    </xf>
    <xf numFmtId="49" fontId="11" fillId="0" borderId="16" xfId="0" applyNumberFormat="1" applyFont="1" applyBorder="1" applyAlignment="1">
      <alignment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/>
    </xf>
    <xf numFmtId="49" fontId="11" fillId="0" borderId="0" xfId="0" applyNumberFormat="1" applyFont="1" applyAlignment="1">
      <alignment/>
    </xf>
    <xf numFmtId="49" fontId="11" fillId="0" borderId="0" xfId="0" applyNumberFormat="1" applyFont="1" applyAlignment="1">
      <alignment horizontal="center"/>
    </xf>
    <xf numFmtId="49" fontId="11" fillId="0" borderId="16" xfId="0" applyNumberFormat="1" applyFont="1" applyBorder="1" applyAlignment="1">
      <alignment/>
    </xf>
    <xf numFmtId="49" fontId="11" fillId="0" borderId="18" xfId="0" applyNumberFormat="1" applyFont="1" applyBorder="1" applyAlignment="1">
      <alignment/>
    </xf>
    <xf numFmtId="49" fontId="10" fillId="0" borderId="0" xfId="0" applyNumberFormat="1" applyFont="1" applyAlignment="1">
      <alignment/>
    </xf>
    <xf numFmtId="0" fontId="11" fillId="0" borderId="22" xfId="0" applyFont="1" applyBorder="1" applyAlignment="1">
      <alignment/>
    </xf>
    <xf numFmtId="0" fontId="11" fillId="0" borderId="23" xfId="0" applyFont="1" applyBorder="1" applyAlignment="1">
      <alignment horizontal="center"/>
    </xf>
    <xf numFmtId="4" fontId="14" fillId="0" borderId="10" xfId="0" applyNumberFormat="1" applyFont="1" applyBorder="1" applyAlignment="1">
      <alignment/>
    </xf>
    <xf numFmtId="43" fontId="14" fillId="0" borderId="0" xfId="0" applyNumberFormat="1" applyFont="1" applyAlignment="1">
      <alignment horizontal="center"/>
    </xf>
    <xf numFmtId="0" fontId="14" fillId="0" borderId="0" xfId="0" applyFont="1" applyBorder="1" applyAlignment="1">
      <alignment/>
    </xf>
    <xf numFmtId="194" fontId="5" fillId="0" borderId="19" xfId="0" applyNumberFormat="1" applyFont="1" applyBorder="1" applyAlignment="1">
      <alignment/>
    </xf>
    <xf numFmtId="49" fontId="14" fillId="0" borderId="0" xfId="0" applyNumberFormat="1" applyFont="1" applyBorder="1" applyAlignment="1">
      <alignment/>
    </xf>
    <xf numFmtId="49" fontId="13" fillId="0" borderId="10" xfId="0" applyNumberFormat="1" applyFont="1" applyBorder="1" applyAlignment="1">
      <alignment horizontal="right"/>
    </xf>
    <xf numFmtId="49" fontId="13" fillId="0" borderId="10" xfId="0" applyNumberFormat="1" applyFont="1" applyBorder="1" applyAlignment="1">
      <alignment horizontal="center"/>
    </xf>
    <xf numFmtId="43" fontId="14" fillId="0" borderId="12" xfId="0" applyNumberFormat="1" applyFont="1" applyBorder="1" applyAlignment="1">
      <alignment/>
    </xf>
    <xf numFmtId="49" fontId="14" fillId="0" borderId="0" xfId="0" applyNumberFormat="1" applyFont="1" applyAlignment="1">
      <alignment horizontal="left"/>
    </xf>
    <xf numFmtId="43" fontId="14" fillId="0" borderId="24" xfId="0" applyNumberFormat="1" applyFont="1" applyBorder="1" applyAlignment="1">
      <alignment/>
    </xf>
    <xf numFmtId="43" fontId="14" fillId="0" borderId="25" xfId="0" applyNumberFormat="1" applyFont="1" applyBorder="1" applyAlignment="1">
      <alignment/>
    </xf>
    <xf numFmtId="43" fontId="14" fillId="0" borderId="26" xfId="0" applyNumberFormat="1" applyFont="1" applyBorder="1" applyAlignment="1">
      <alignment/>
    </xf>
    <xf numFmtId="43" fontId="14" fillId="0" borderId="10" xfId="0" applyNumberFormat="1" applyFont="1" applyBorder="1" applyAlignment="1">
      <alignment/>
    </xf>
    <xf numFmtId="43" fontId="14" fillId="0" borderId="17" xfId="0" applyNumberFormat="1" applyFont="1" applyBorder="1" applyAlignment="1">
      <alignment/>
    </xf>
    <xf numFmtId="43" fontId="14" fillId="0" borderId="27" xfId="0" applyNumberFormat="1" applyFont="1" applyBorder="1" applyAlignment="1">
      <alignment/>
    </xf>
    <xf numFmtId="43" fontId="14" fillId="0" borderId="21" xfId="0" applyNumberFormat="1" applyFont="1" applyBorder="1" applyAlignment="1">
      <alignment/>
    </xf>
    <xf numFmtId="43" fontId="14" fillId="0" borderId="28" xfId="0" applyNumberFormat="1" applyFont="1" applyBorder="1" applyAlignment="1">
      <alignment/>
    </xf>
    <xf numFmtId="43" fontId="14" fillId="0" borderId="29" xfId="0" applyNumberFormat="1" applyFont="1" applyBorder="1" applyAlignment="1">
      <alignment/>
    </xf>
    <xf numFmtId="43" fontId="14" fillId="0" borderId="30" xfId="0" applyNumberFormat="1" applyFont="1" applyBorder="1" applyAlignment="1">
      <alignment/>
    </xf>
    <xf numFmtId="43" fontId="14" fillId="0" borderId="20" xfId="0" applyNumberFormat="1" applyFont="1" applyBorder="1" applyAlignment="1">
      <alignment/>
    </xf>
    <xf numFmtId="43" fontId="14" fillId="0" borderId="31" xfId="0" applyNumberFormat="1" applyFont="1" applyBorder="1" applyAlignment="1">
      <alignment/>
    </xf>
    <xf numFmtId="43" fontId="14" fillId="0" borderId="0" xfId="0" applyNumberFormat="1" applyFont="1" applyAlignment="1">
      <alignment/>
    </xf>
    <xf numFmtId="43" fontId="14" fillId="0" borderId="32" xfId="0" applyNumberFormat="1" applyFont="1" applyBorder="1" applyAlignment="1">
      <alignment/>
    </xf>
    <xf numFmtId="43" fontId="14" fillId="0" borderId="33" xfId="0" applyNumberFormat="1" applyFont="1" applyBorder="1" applyAlignment="1">
      <alignment/>
    </xf>
    <xf numFmtId="43" fontId="14" fillId="0" borderId="34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43" fontId="14" fillId="0" borderId="35" xfId="0" applyNumberFormat="1" applyFont="1" applyBorder="1" applyAlignment="1">
      <alignment/>
    </xf>
    <xf numFmtId="49" fontId="14" fillId="0" borderId="10" xfId="0" applyNumberFormat="1" applyFont="1" applyBorder="1" applyAlignment="1">
      <alignment horizontal="center"/>
    </xf>
    <xf numFmtId="49" fontId="14" fillId="0" borderId="24" xfId="0" applyNumberFormat="1" applyFont="1" applyBorder="1" applyAlignment="1">
      <alignment horizontal="left"/>
    </xf>
    <xf numFmtId="49" fontId="14" fillId="0" borderId="12" xfId="0" applyNumberFormat="1" applyFont="1" applyBorder="1" applyAlignment="1">
      <alignment horizontal="left"/>
    </xf>
    <xf numFmtId="49" fontId="14" fillId="0" borderId="25" xfId="0" applyNumberFormat="1" applyFont="1" applyBorder="1" applyAlignment="1">
      <alignment horizontal="left"/>
    </xf>
    <xf numFmtId="49" fontId="14" fillId="0" borderId="14" xfId="0" applyNumberFormat="1" applyFont="1" applyBorder="1" applyAlignment="1">
      <alignment horizontal="left"/>
    </xf>
    <xf numFmtId="49" fontId="14" fillId="0" borderId="11" xfId="0" applyNumberFormat="1" applyFont="1" applyBorder="1" applyAlignment="1">
      <alignment horizontal="left"/>
    </xf>
    <xf numFmtId="4" fontId="14" fillId="0" borderId="17" xfId="0" applyNumberFormat="1" applyFont="1" applyBorder="1" applyAlignment="1">
      <alignment/>
    </xf>
    <xf numFmtId="49" fontId="14" fillId="0" borderId="33" xfId="0" applyNumberFormat="1" applyFont="1" applyBorder="1" applyAlignment="1">
      <alignment horizontal="left"/>
    </xf>
    <xf numFmtId="194" fontId="5" fillId="0" borderId="14" xfId="0" applyNumberFormat="1" applyFont="1" applyBorder="1" applyAlignment="1">
      <alignment/>
    </xf>
    <xf numFmtId="194" fontId="5" fillId="0" borderId="19" xfId="33" applyNumberFormat="1" applyFont="1" applyBorder="1" applyAlignment="1">
      <alignment/>
    </xf>
    <xf numFmtId="4" fontId="5" fillId="0" borderId="19" xfId="0" applyNumberFormat="1" applyFont="1" applyBorder="1" applyAlignment="1">
      <alignment horizontal="center"/>
    </xf>
    <xf numFmtId="194" fontId="5" fillId="0" borderId="19" xfId="33" applyFont="1" applyBorder="1" applyAlignment="1">
      <alignment/>
    </xf>
    <xf numFmtId="4" fontId="5" fillId="0" borderId="11" xfId="0" applyNumberFormat="1" applyFont="1" applyBorder="1" applyAlignment="1">
      <alignment horizontal="right"/>
    </xf>
    <xf numFmtId="49" fontId="4" fillId="0" borderId="0" xfId="0" applyNumberFormat="1" applyFont="1" applyAlignment="1">
      <alignment horizontal="center"/>
    </xf>
    <xf numFmtId="0" fontId="4" fillId="33" borderId="10" xfId="0" applyFont="1" applyFill="1" applyBorder="1" applyAlignment="1">
      <alignment horizontal="center"/>
    </xf>
    <xf numFmtId="194" fontId="5" fillId="0" borderId="11" xfId="33" applyFont="1" applyBorder="1" applyAlignment="1">
      <alignment horizontal="right"/>
    </xf>
    <xf numFmtId="0" fontId="5" fillId="0" borderId="12" xfId="0" applyFont="1" applyBorder="1" applyAlignment="1" quotePrefix="1">
      <alignment horizontal="center"/>
    </xf>
    <xf numFmtId="0" fontId="4" fillId="0" borderId="12" xfId="0" applyFont="1" applyBorder="1" applyAlignment="1">
      <alignment horizontal="center"/>
    </xf>
    <xf numFmtId="194" fontId="5" fillId="33" borderId="17" xfId="33" applyFont="1" applyFill="1" applyBorder="1" applyAlignment="1">
      <alignment horizontal="right"/>
    </xf>
    <xf numFmtId="0" fontId="5" fillId="0" borderId="12" xfId="0" applyFont="1" applyBorder="1" applyAlignment="1">
      <alignment horizontal="center"/>
    </xf>
    <xf numFmtId="194" fontId="5" fillId="0" borderId="12" xfId="33" applyFont="1" applyFill="1" applyBorder="1" applyAlignment="1">
      <alignment horizontal="right"/>
    </xf>
    <xf numFmtId="0" fontId="5" fillId="0" borderId="14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12" xfId="0" applyFont="1" applyBorder="1" applyAlignment="1">
      <alignment horizontal="right"/>
    </xf>
    <xf numFmtId="0" fontId="4" fillId="0" borderId="12" xfId="0" applyFont="1" applyBorder="1" applyAlignment="1" quotePrefix="1">
      <alignment horizontal="center"/>
    </xf>
    <xf numFmtId="194" fontId="5" fillId="34" borderId="21" xfId="33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7" fillId="0" borderId="11" xfId="0" applyFont="1" applyBorder="1" applyAlignment="1">
      <alignment horizontal="center"/>
    </xf>
    <xf numFmtId="0" fontId="16" fillId="0" borderId="12" xfId="0" applyFont="1" applyBorder="1" applyAlignment="1">
      <alignment/>
    </xf>
    <xf numFmtId="0" fontId="18" fillId="0" borderId="12" xfId="0" applyFont="1" applyBorder="1" applyAlignment="1">
      <alignment/>
    </xf>
    <xf numFmtId="0" fontId="16" fillId="0" borderId="12" xfId="0" applyFont="1" applyBorder="1" applyAlignment="1">
      <alignment horizontal="center"/>
    </xf>
    <xf numFmtId="0" fontId="16" fillId="0" borderId="12" xfId="0" applyFont="1" applyBorder="1" applyAlignment="1">
      <alignment horizontal="left"/>
    </xf>
    <xf numFmtId="0" fontId="17" fillId="0" borderId="12" xfId="0" applyFont="1" applyBorder="1" applyAlignment="1">
      <alignment/>
    </xf>
    <xf numFmtId="0" fontId="16" fillId="0" borderId="14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12" xfId="0" applyFont="1" applyBorder="1" applyAlignment="1">
      <alignment horizontal="left"/>
    </xf>
    <xf numFmtId="0" fontId="19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49" fontId="14" fillId="0" borderId="26" xfId="0" applyNumberFormat="1" applyFont="1" applyBorder="1" applyAlignment="1">
      <alignment horizontal="left"/>
    </xf>
    <xf numFmtId="43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43" fontId="11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/>
    </xf>
    <xf numFmtId="15" fontId="20" fillId="0" borderId="10" xfId="0" applyNumberFormat="1" applyFont="1" applyBorder="1" applyAlignment="1">
      <alignment/>
    </xf>
    <xf numFmtId="49" fontId="20" fillId="0" borderId="10" xfId="0" applyNumberFormat="1" applyFont="1" applyBorder="1" applyAlignment="1">
      <alignment horizontal="center"/>
    </xf>
    <xf numFmtId="43" fontId="20" fillId="0" borderId="10" xfId="0" applyNumberFormat="1" applyFont="1" applyBorder="1" applyAlignment="1">
      <alignment/>
    </xf>
    <xf numFmtId="15" fontId="20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49" fontId="20" fillId="0" borderId="0" xfId="0" applyNumberFormat="1" applyFont="1" applyAlignment="1">
      <alignment horizontal="center"/>
    </xf>
    <xf numFmtId="43" fontId="11" fillId="0" borderId="17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24" xfId="0" applyFont="1" applyBorder="1" applyAlignment="1">
      <alignment horizontal="center"/>
    </xf>
    <xf numFmtId="0" fontId="20" fillId="0" borderId="24" xfId="0" applyFont="1" applyBorder="1" applyAlignment="1">
      <alignment/>
    </xf>
    <xf numFmtId="194" fontId="20" fillId="0" borderId="24" xfId="33" applyFont="1" applyBorder="1" applyAlignment="1">
      <alignment/>
    </xf>
    <xf numFmtId="0" fontId="20" fillId="0" borderId="25" xfId="0" applyFont="1" applyBorder="1" applyAlignment="1">
      <alignment horizontal="center"/>
    </xf>
    <xf numFmtId="0" fontId="20" fillId="0" borderId="25" xfId="0" applyFont="1" applyBorder="1" applyAlignment="1">
      <alignment/>
    </xf>
    <xf numFmtId="194" fontId="20" fillId="0" borderId="25" xfId="33" applyFont="1" applyBorder="1" applyAlignment="1">
      <alignment/>
    </xf>
    <xf numFmtId="0" fontId="20" fillId="0" borderId="35" xfId="0" applyFont="1" applyBorder="1" applyAlignment="1">
      <alignment horizontal="center"/>
    </xf>
    <xf numFmtId="0" fontId="20" fillId="0" borderId="35" xfId="0" applyFont="1" applyBorder="1" applyAlignment="1">
      <alignment/>
    </xf>
    <xf numFmtId="194" fontId="20" fillId="0" borderId="35" xfId="33" applyFont="1" applyBorder="1" applyAlignment="1">
      <alignment/>
    </xf>
    <xf numFmtId="194" fontId="11" fillId="0" borderId="17" xfId="33" applyFont="1" applyBorder="1" applyAlignment="1">
      <alignment/>
    </xf>
    <xf numFmtId="0" fontId="20" fillId="0" borderId="17" xfId="0" applyFont="1" applyBorder="1" applyAlignment="1">
      <alignment/>
    </xf>
    <xf numFmtId="0" fontId="11" fillId="0" borderId="0" xfId="0" applyFont="1" applyBorder="1" applyAlignment="1">
      <alignment horizontal="center"/>
    </xf>
    <xf numFmtId="4" fontId="14" fillId="0" borderId="14" xfId="0" applyNumberFormat="1" applyFont="1" applyBorder="1" applyAlignment="1">
      <alignment/>
    </xf>
    <xf numFmtId="238" fontId="14" fillId="0" borderId="29" xfId="0" applyNumberFormat="1" applyFont="1" applyBorder="1" applyAlignment="1">
      <alignment/>
    </xf>
    <xf numFmtId="0" fontId="20" fillId="0" borderId="10" xfId="0" applyFont="1" applyBorder="1" applyAlignment="1">
      <alignment horizontal="right"/>
    </xf>
    <xf numFmtId="43" fontId="20" fillId="0" borderId="10" xfId="0" applyNumberFormat="1" applyFont="1" applyBorder="1" applyAlignment="1">
      <alignment horizontal="right"/>
    </xf>
    <xf numFmtId="43" fontId="11" fillId="0" borderId="17" xfId="0" applyNumberFormat="1" applyFont="1" applyBorder="1" applyAlignment="1">
      <alignment horizontal="right"/>
    </xf>
    <xf numFmtId="43" fontId="11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right"/>
    </xf>
    <xf numFmtId="0" fontId="20" fillId="0" borderId="0" xfId="0" applyFont="1" applyAlignment="1">
      <alignment horizontal="center"/>
    </xf>
    <xf numFmtId="43" fontId="20" fillId="0" borderId="0" xfId="0" applyNumberFormat="1" applyFont="1" applyAlignment="1">
      <alignment horizontal="right"/>
    </xf>
    <xf numFmtId="231" fontId="5" fillId="0" borderId="0" xfId="0" applyNumberFormat="1" applyFont="1" applyAlignment="1">
      <alignment horizontal="center"/>
    </xf>
    <xf numFmtId="0" fontId="16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18" fillId="0" borderId="10" xfId="0" applyFont="1" applyBorder="1" applyAlignment="1">
      <alignment horizontal="center"/>
    </xf>
    <xf numFmtId="49" fontId="18" fillId="0" borderId="10" xfId="0" applyNumberFormat="1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left"/>
    </xf>
    <xf numFmtId="49" fontId="18" fillId="0" borderId="11" xfId="0" applyNumberFormat="1" applyFont="1" applyBorder="1" applyAlignment="1">
      <alignment horizontal="center"/>
    </xf>
    <xf numFmtId="0" fontId="18" fillId="0" borderId="0" xfId="0" applyFont="1" applyBorder="1" applyAlignment="1">
      <alignment/>
    </xf>
    <xf numFmtId="49" fontId="18" fillId="0" borderId="12" xfId="0" applyNumberFormat="1" applyFont="1" applyBorder="1" applyAlignment="1">
      <alignment horizontal="center"/>
    </xf>
    <xf numFmtId="49" fontId="18" fillId="0" borderId="14" xfId="0" applyNumberFormat="1" applyFont="1" applyBorder="1" applyAlignment="1">
      <alignment horizontal="center"/>
    </xf>
    <xf numFmtId="49" fontId="18" fillId="0" borderId="0" xfId="0" applyNumberFormat="1" applyFont="1" applyBorder="1" applyAlignment="1">
      <alignment horizontal="center"/>
    </xf>
    <xf numFmtId="0" fontId="18" fillId="0" borderId="29" xfId="0" applyFont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49" fontId="18" fillId="0" borderId="0" xfId="0" applyNumberFormat="1" applyFont="1" applyAlignment="1">
      <alignment horizontal="center"/>
    </xf>
    <xf numFmtId="4" fontId="18" fillId="0" borderId="0" xfId="0" applyNumberFormat="1" applyFont="1" applyBorder="1" applyAlignment="1">
      <alignment/>
    </xf>
    <xf numFmtId="0" fontId="16" fillId="0" borderId="0" xfId="0" applyFont="1" applyAlignment="1">
      <alignment horizontal="center"/>
    </xf>
    <xf numFmtId="194" fontId="18" fillId="0" borderId="0" xfId="33" applyFont="1" applyBorder="1" applyAlignment="1">
      <alignment/>
    </xf>
    <xf numFmtId="194" fontId="18" fillId="0" borderId="0" xfId="33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3" fontId="8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49" fontId="10" fillId="0" borderId="10" xfId="0" applyNumberFormat="1" applyFont="1" applyBorder="1" applyAlignment="1">
      <alignment horizontal="center"/>
    </xf>
    <xf numFmtId="43" fontId="10" fillId="0" borderId="10" xfId="0" applyNumberFormat="1" applyFont="1" applyBorder="1" applyAlignment="1">
      <alignment/>
    </xf>
    <xf numFmtId="43" fontId="8" fillId="0" borderId="10" xfId="0" applyNumberFormat="1" applyFont="1" applyBorder="1" applyAlignment="1">
      <alignment/>
    </xf>
    <xf numFmtId="49" fontId="10" fillId="0" borderId="0" xfId="0" applyNumberFormat="1" applyFont="1" applyAlignment="1">
      <alignment horizontal="center"/>
    </xf>
    <xf numFmtId="43" fontId="10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2" fontId="5" fillId="0" borderId="12" xfId="33" applyNumberFormat="1" applyFont="1" applyBorder="1" applyAlignment="1">
      <alignment horizontal="right"/>
    </xf>
    <xf numFmtId="2" fontId="5" fillId="33" borderId="17" xfId="33" applyNumberFormat="1" applyFont="1" applyFill="1" applyBorder="1" applyAlignment="1">
      <alignment horizontal="right"/>
    </xf>
    <xf numFmtId="4" fontId="5" fillId="0" borderId="12" xfId="33" applyNumberFormat="1" applyFont="1" applyBorder="1" applyAlignment="1">
      <alignment horizontal="right"/>
    </xf>
    <xf numFmtId="43" fontId="11" fillId="0" borderId="19" xfId="0" applyNumberFormat="1" applyFont="1" applyBorder="1" applyAlignment="1">
      <alignment/>
    </xf>
    <xf numFmtId="43" fontId="14" fillId="0" borderId="36" xfId="0" applyNumberFormat="1" applyFont="1" applyBorder="1" applyAlignment="1">
      <alignment/>
    </xf>
    <xf numFmtId="43" fontId="14" fillId="0" borderId="14" xfId="0" applyNumberFormat="1" applyFont="1" applyBorder="1" applyAlignment="1">
      <alignment/>
    </xf>
    <xf numFmtId="49" fontId="14" fillId="0" borderId="37" xfId="0" applyNumberFormat="1" applyFont="1" applyBorder="1" applyAlignment="1">
      <alignment horizontal="left"/>
    </xf>
    <xf numFmtId="194" fontId="14" fillId="0" borderId="28" xfId="0" applyNumberFormat="1" applyFont="1" applyBorder="1" applyAlignment="1">
      <alignment/>
    </xf>
    <xf numFmtId="194" fontId="14" fillId="0" borderId="30" xfId="0" applyNumberFormat="1" applyFont="1" applyBorder="1" applyAlignment="1">
      <alignment/>
    </xf>
    <xf numFmtId="43" fontId="14" fillId="0" borderId="38" xfId="0" applyNumberFormat="1" applyFont="1" applyBorder="1" applyAlignment="1">
      <alignment/>
    </xf>
    <xf numFmtId="49" fontId="14" fillId="0" borderId="39" xfId="0" applyNumberFormat="1" applyFont="1" applyBorder="1" applyAlignment="1">
      <alignment horizontal="left"/>
    </xf>
    <xf numFmtId="49" fontId="14" fillId="0" borderId="40" xfId="0" applyNumberFormat="1" applyFont="1" applyBorder="1" applyAlignment="1">
      <alignment horizontal="left"/>
    </xf>
    <xf numFmtId="4" fontId="14" fillId="0" borderId="11" xfId="0" applyNumberFormat="1" applyFont="1" applyBorder="1" applyAlignment="1">
      <alignment/>
    </xf>
    <xf numFmtId="0" fontId="13" fillId="0" borderId="18" xfId="0" applyFont="1" applyBorder="1" applyAlignment="1">
      <alignment horizontal="center"/>
    </xf>
    <xf numFmtId="49" fontId="14" fillId="0" borderId="23" xfId="0" applyNumberFormat="1" applyFont="1" applyBorder="1" applyAlignment="1">
      <alignment horizontal="center"/>
    </xf>
    <xf numFmtId="43" fontId="14" fillId="0" borderId="41" xfId="0" applyNumberFormat="1" applyFont="1" applyBorder="1" applyAlignment="1">
      <alignment/>
    </xf>
    <xf numFmtId="4" fontId="14" fillId="0" borderId="41" xfId="0" applyNumberFormat="1" applyFont="1" applyBorder="1" applyAlignment="1">
      <alignment/>
    </xf>
    <xf numFmtId="238" fontId="14" fillId="0" borderId="17" xfId="0" applyNumberFormat="1" applyFont="1" applyBorder="1" applyAlignment="1">
      <alignment/>
    </xf>
    <xf numFmtId="43" fontId="14" fillId="0" borderId="0" xfId="0" applyNumberFormat="1" applyFont="1" applyBorder="1" applyAlignment="1">
      <alignment/>
    </xf>
    <xf numFmtId="49" fontId="14" fillId="0" borderId="0" xfId="0" applyNumberFormat="1" applyFont="1" applyBorder="1" applyAlignment="1">
      <alignment horizontal="left"/>
    </xf>
    <xf numFmtId="4" fontId="14" fillId="0" borderId="0" xfId="0" applyNumberFormat="1" applyFont="1" applyBorder="1" applyAlignment="1">
      <alignment/>
    </xf>
    <xf numFmtId="194" fontId="14" fillId="0" borderId="12" xfId="33" applyFont="1" applyBorder="1" applyAlignment="1">
      <alignment/>
    </xf>
    <xf numFmtId="194" fontId="14" fillId="0" borderId="17" xfId="33" applyFont="1" applyBorder="1" applyAlignment="1">
      <alignment/>
    </xf>
    <xf numFmtId="194" fontId="14" fillId="0" borderId="10" xfId="33" applyFont="1" applyBorder="1" applyAlignment="1">
      <alignment/>
    </xf>
    <xf numFmtId="2" fontId="20" fillId="0" borderId="10" xfId="0" applyNumberFormat="1" applyFont="1" applyBorder="1" applyAlignment="1">
      <alignment horizontal="right"/>
    </xf>
    <xf numFmtId="15" fontId="10" fillId="0" borderId="1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94" fontId="10" fillId="33" borderId="0" xfId="33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0" fontId="18" fillId="0" borderId="12" xfId="0" applyFont="1" applyBorder="1" applyAlignment="1">
      <alignment horizontal="left"/>
    </xf>
    <xf numFmtId="4" fontId="14" fillId="0" borderId="12" xfId="0" applyNumberFormat="1" applyFont="1" applyBorder="1" applyAlignment="1">
      <alignment/>
    </xf>
    <xf numFmtId="43" fontId="14" fillId="0" borderId="42" xfId="0" applyNumberFormat="1" applyFont="1" applyBorder="1" applyAlignment="1">
      <alignment/>
    </xf>
    <xf numFmtId="49" fontId="13" fillId="0" borderId="11" xfId="0" applyNumberFormat="1" applyFont="1" applyBorder="1" applyAlignment="1">
      <alignment horizontal="center"/>
    </xf>
    <xf numFmtId="194" fontId="4" fillId="0" borderId="0" xfId="33" applyFont="1" applyAlignment="1">
      <alignment horizontal="left"/>
    </xf>
    <xf numFmtId="43" fontId="14" fillId="0" borderId="25" xfId="0" applyNumberFormat="1" applyFont="1" applyBorder="1" applyAlignment="1">
      <alignment/>
    </xf>
    <xf numFmtId="43" fontId="14" fillId="0" borderId="37" xfId="0" applyNumberFormat="1" applyFont="1" applyBorder="1" applyAlignment="1">
      <alignment/>
    </xf>
    <xf numFmtId="43" fontId="14" fillId="0" borderId="43" xfId="0" applyNumberFormat="1" applyFont="1" applyBorder="1" applyAlignment="1">
      <alignment/>
    </xf>
    <xf numFmtId="43" fontId="14" fillId="0" borderId="37" xfId="0" applyNumberFormat="1" applyFont="1" applyBorder="1" applyAlignment="1">
      <alignment/>
    </xf>
    <xf numFmtId="43" fontId="14" fillId="0" borderId="44" xfId="0" applyNumberFormat="1" applyFont="1" applyBorder="1" applyAlignment="1">
      <alignment/>
    </xf>
    <xf numFmtId="0" fontId="16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0" fillId="0" borderId="0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20" fillId="0" borderId="0" xfId="0" applyFont="1" applyBorder="1" applyAlignment="1">
      <alignment horizontal="left"/>
    </xf>
    <xf numFmtId="0" fontId="11" fillId="0" borderId="20" xfId="0" applyFont="1" applyBorder="1" applyAlignment="1">
      <alignment horizontal="center"/>
    </xf>
    <xf numFmtId="0" fontId="11" fillId="0" borderId="45" xfId="0" applyFont="1" applyBorder="1" applyAlignment="1">
      <alignment horizontal="center"/>
    </xf>
    <xf numFmtId="0" fontId="11" fillId="0" borderId="46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231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94" fontId="5" fillId="0" borderId="0" xfId="33" applyFont="1" applyAlignment="1">
      <alignment horizontal="left"/>
    </xf>
    <xf numFmtId="194" fontId="4" fillId="0" borderId="0" xfId="33" applyFont="1" applyAlignment="1">
      <alignment horizontal="center"/>
    </xf>
    <xf numFmtId="194" fontId="4" fillId="0" borderId="0" xfId="33" applyFont="1" applyAlignment="1">
      <alignment horizontal="right"/>
    </xf>
    <xf numFmtId="194" fontId="5" fillId="0" borderId="20" xfId="33" applyFont="1" applyBorder="1" applyAlignment="1">
      <alignment horizontal="center"/>
    </xf>
    <xf numFmtId="194" fontId="5" fillId="0" borderId="46" xfId="33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33" borderId="20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33" borderId="45" xfId="0" applyFont="1" applyFill="1" applyBorder="1" applyAlignment="1">
      <alignment horizontal="center"/>
    </xf>
    <xf numFmtId="0" fontId="4" fillId="33" borderId="46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49" fontId="8" fillId="0" borderId="0" xfId="0" applyNumberFormat="1" applyFont="1" applyAlignment="1">
      <alignment horizontal="center"/>
    </xf>
    <xf numFmtId="0" fontId="11" fillId="0" borderId="29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6" xfId="0" applyFont="1" applyBorder="1" applyAlignment="1">
      <alignment horizontal="left"/>
    </xf>
    <xf numFmtId="0" fontId="11" fillId="0" borderId="13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1" fillId="0" borderId="19" xfId="0" applyFont="1" applyBorder="1" applyAlignment="1">
      <alignment horizontal="left"/>
    </xf>
    <xf numFmtId="0" fontId="11" fillId="0" borderId="29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2" fillId="0" borderId="0" xfId="0" applyFont="1" applyAlignment="1">
      <alignment horizontal="center"/>
    </xf>
    <xf numFmtId="49" fontId="11" fillId="0" borderId="0" xfId="0" applyNumberFormat="1" applyFont="1" applyBorder="1" applyAlignment="1">
      <alignment horizontal="left"/>
    </xf>
    <xf numFmtId="49" fontId="11" fillId="0" borderId="19" xfId="0" applyNumberFormat="1" applyFont="1" applyBorder="1" applyAlignment="1">
      <alignment horizontal="left"/>
    </xf>
    <xf numFmtId="0" fontId="11" fillId="0" borderId="22" xfId="0" applyFont="1" applyBorder="1" applyAlignment="1">
      <alignment horizontal="left"/>
    </xf>
    <xf numFmtId="49" fontId="14" fillId="0" borderId="10" xfId="0" applyNumberFormat="1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49" fontId="14" fillId="0" borderId="20" xfId="0" applyNumberFormat="1" applyFont="1" applyBorder="1" applyAlignment="1">
      <alignment horizontal="center"/>
    </xf>
    <xf numFmtId="49" fontId="14" fillId="0" borderId="46" xfId="0" applyNumberFormat="1" applyFont="1" applyBorder="1" applyAlignment="1">
      <alignment horizontal="center"/>
    </xf>
    <xf numFmtId="49" fontId="14" fillId="0" borderId="11" xfId="0" applyNumberFormat="1" applyFont="1" applyBorder="1" applyAlignment="1">
      <alignment horizontal="center" vertical="center"/>
    </xf>
    <xf numFmtId="49" fontId="14" fillId="0" borderId="14" xfId="0" applyNumberFormat="1" applyFont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38100</xdr:rowOff>
    </xdr:from>
    <xdr:to>
      <xdr:col>1</xdr:col>
      <xdr:colOff>0</xdr:colOff>
      <xdr:row>5</xdr:row>
      <xdr:rowOff>180975</xdr:rowOff>
    </xdr:to>
    <xdr:sp>
      <xdr:nvSpPr>
        <xdr:cNvPr id="1" name="Line 1"/>
        <xdr:cNvSpPr>
          <a:spLocks/>
        </xdr:cNvSpPr>
      </xdr:nvSpPr>
      <xdr:spPr>
        <a:xfrm flipH="1" flipV="1">
          <a:off x="9525" y="84772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5</xdr:row>
      <xdr:rowOff>28575</xdr:rowOff>
    </xdr:from>
    <xdr:to>
      <xdr:col>0</xdr:col>
      <xdr:colOff>828675</xdr:colOff>
      <xdr:row>6</xdr:row>
      <xdr:rowOff>180975</xdr:rowOff>
    </xdr:to>
    <xdr:sp>
      <xdr:nvSpPr>
        <xdr:cNvPr id="2" name="Line 2"/>
        <xdr:cNvSpPr>
          <a:spLocks/>
        </xdr:cNvSpPr>
      </xdr:nvSpPr>
      <xdr:spPr>
        <a:xfrm flipH="1" flipV="1">
          <a:off x="19050" y="101917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828675</xdr:colOff>
      <xdr:row>41</xdr:row>
      <xdr:rowOff>180975</xdr:rowOff>
    </xdr:to>
    <xdr:sp>
      <xdr:nvSpPr>
        <xdr:cNvPr id="3" name="Line 3"/>
        <xdr:cNvSpPr>
          <a:spLocks/>
        </xdr:cNvSpPr>
      </xdr:nvSpPr>
      <xdr:spPr>
        <a:xfrm flipH="1" flipV="1">
          <a:off x="9525" y="734377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828675</xdr:colOff>
      <xdr:row>42</xdr:row>
      <xdr:rowOff>180975</xdr:rowOff>
    </xdr:to>
    <xdr:sp>
      <xdr:nvSpPr>
        <xdr:cNvPr id="4" name="Line 4"/>
        <xdr:cNvSpPr>
          <a:spLocks/>
        </xdr:cNvSpPr>
      </xdr:nvSpPr>
      <xdr:spPr>
        <a:xfrm flipH="1" flipV="1">
          <a:off x="19050" y="751522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5" name="Line 5"/>
        <xdr:cNvSpPr>
          <a:spLocks/>
        </xdr:cNvSpPr>
      </xdr:nvSpPr>
      <xdr:spPr>
        <a:xfrm flipH="1" flipV="1">
          <a:off x="9525" y="1462087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6" name="Line 6"/>
        <xdr:cNvSpPr>
          <a:spLocks/>
        </xdr:cNvSpPr>
      </xdr:nvSpPr>
      <xdr:spPr>
        <a:xfrm flipH="1" flipV="1">
          <a:off x="19050" y="1478280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38100</xdr:rowOff>
    </xdr:from>
    <xdr:to>
      <xdr:col>15</xdr:col>
      <xdr:colOff>0</xdr:colOff>
      <xdr:row>5</xdr:row>
      <xdr:rowOff>180975</xdr:rowOff>
    </xdr:to>
    <xdr:sp>
      <xdr:nvSpPr>
        <xdr:cNvPr id="7" name="Line 7"/>
        <xdr:cNvSpPr>
          <a:spLocks/>
        </xdr:cNvSpPr>
      </xdr:nvSpPr>
      <xdr:spPr>
        <a:xfrm flipH="1" flipV="1">
          <a:off x="7781925" y="8477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28575</xdr:rowOff>
    </xdr:from>
    <xdr:to>
      <xdr:col>15</xdr:col>
      <xdr:colOff>0</xdr:colOff>
      <xdr:row>6</xdr:row>
      <xdr:rowOff>180975</xdr:rowOff>
    </xdr:to>
    <xdr:sp>
      <xdr:nvSpPr>
        <xdr:cNvPr id="8" name="Line 8"/>
        <xdr:cNvSpPr>
          <a:spLocks/>
        </xdr:cNvSpPr>
      </xdr:nvSpPr>
      <xdr:spPr>
        <a:xfrm flipH="1" flipV="1">
          <a:off x="7781925" y="10191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9" name="Line 9"/>
        <xdr:cNvSpPr>
          <a:spLocks/>
        </xdr:cNvSpPr>
      </xdr:nvSpPr>
      <xdr:spPr>
        <a:xfrm flipH="1" flipV="1">
          <a:off x="778192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10" name="Line 10"/>
        <xdr:cNvSpPr>
          <a:spLocks/>
        </xdr:cNvSpPr>
      </xdr:nvSpPr>
      <xdr:spPr>
        <a:xfrm flipH="1" flipV="1">
          <a:off x="778192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11" name="Line 11"/>
        <xdr:cNvSpPr>
          <a:spLocks/>
        </xdr:cNvSpPr>
      </xdr:nvSpPr>
      <xdr:spPr>
        <a:xfrm flipH="1" flipV="1">
          <a:off x="778192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12" name="Line 12"/>
        <xdr:cNvSpPr>
          <a:spLocks/>
        </xdr:cNvSpPr>
      </xdr:nvSpPr>
      <xdr:spPr>
        <a:xfrm flipH="1" flipV="1">
          <a:off x="778192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828675</xdr:colOff>
      <xdr:row>41</xdr:row>
      <xdr:rowOff>180975</xdr:rowOff>
    </xdr:to>
    <xdr:sp>
      <xdr:nvSpPr>
        <xdr:cNvPr id="13" name="Line 13"/>
        <xdr:cNvSpPr>
          <a:spLocks/>
        </xdr:cNvSpPr>
      </xdr:nvSpPr>
      <xdr:spPr>
        <a:xfrm flipH="1" flipV="1">
          <a:off x="9525" y="734377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828675</xdr:colOff>
      <xdr:row>42</xdr:row>
      <xdr:rowOff>180975</xdr:rowOff>
    </xdr:to>
    <xdr:sp>
      <xdr:nvSpPr>
        <xdr:cNvPr id="14" name="Line 14"/>
        <xdr:cNvSpPr>
          <a:spLocks/>
        </xdr:cNvSpPr>
      </xdr:nvSpPr>
      <xdr:spPr>
        <a:xfrm flipH="1" flipV="1">
          <a:off x="19050" y="751522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15" name="Line 15"/>
        <xdr:cNvSpPr>
          <a:spLocks/>
        </xdr:cNvSpPr>
      </xdr:nvSpPr>
      <xdr:spPr>
        <a:xfrm flipH="1" flipV="1">
          <a:off x="778192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16" name="Line 16"/>
        <xdr:cNvSpPr>
          <a:spLocks/>
        </xdr:cNvSpPr>
      </xdr:nvSpPr>
      <xdr:spPr>
        <a:xfrm flipH="1" flipV="1">
          <a:off x="778192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17" name="Line 17"/>
        <xdr:cNvSpPr>
          <a:spLocks/>
        </xdr:cNvSpPr>
      </xdr:nvSpPr>
      <xdr:spPr>
        <a:xfrm flipH="1" flipV="1">
          <a:off x="9525" y="1462087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18" name="Line 18"/>
        <xdr:cNvSpPr>
          <a:spLocks/>
        </xdr:cNvSpPr>
      </xdr:nvSpPr>
      <xdr:spPr>
        <a:xfrm flipH="1" flipV="1">
          <a:off x="19050" y="1478280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19" name="Line 19"/>
        <xdr:cNvSpPr>
          <a:spLocks/>
        </xdr:cNvSpPr>
      </xdr:nvSpPr>
      <xdr:spPr>
        <a:xfrm flipH="1" flipV="1">
          <a:off x="778192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20" name="Line 20"/>
        <xdr:cNvSpPr>
          <a:spLocks/>
        </xdr:cNvSpPr>
      </xdr:nvSpPr>
      <xdr:spPr>
        <a:xfrm flipH="1" flipV="1">
          <a:off x="778192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21" name="Line 21"/>
        <xdr:cNvSpPr>
          <a:spLocks/>
        </xdr:cNvSpPr>
      </xdr:nvSpPr>
      <xdr:spPr>
        <a:xfrm flipH="1" flipV="1">
          <a:off x="9525" y="1462087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22" name="Line 22"/>
        <xdr:cNvSpPr>
          <a:spLocks/>
        </xdr:cNvSpPr>
      </xdr:nvSpPr>
      <xdr:spPr>
        <a:xfrm flipH="1" flipV="1">
          <a:off x="19050" y="1478280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23" name="Line 23"/>
        <xdr:cNvSpPr>
          <a:spLocks/>
        </xdr:cNvSpPr>
      </xdr:nvSpPr>
      <xdr:spPr>
        <a:xfrm flipH="1" flipV="1">
          <a:off x="778192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24" name="Line 24"/>
        <xdr:cNvSpPr>
          <a:spLocks/>
        </xdr:cNvSpPr>
      </xdr:nvSpPr>
      <xdr:spPr>
        <a:xfrm flipH="1" flipV="1">
          <a:off x="778192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38100</xdr:rowOff>
    </xdr:from>
    <xdr:to>
      <xdr:col>15</xdr:col>
      <xdr:colOff>0</xdr:colOff>
      <xdr:row>5</xdr:row>
      <xdr:rowOff>180975</xdr:rowOff>
    </xdr:to>
    <xdr:sp>
      <xdr:nvSpPr>
        <xdr:cNvPr id="25" name="Line 25"/>
        <xdr:cNvSpPr>
          <a:spLocks/>
        </xdr:cNvSpPr>
      </xdr:nvSpPr>
      <xdr:spPr>
        <a:xfrm flipH="1" flipV="1">
          <a:off x="7781925" y="8477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28575</xdr:rowOff>
    </xdr:from>
    <xdr:to>
      <xdr:col>15</xdr:col>
      <xdr:colOff>0</xdr:colOff>
      <xdr:row>6</xdr:row>
      <xdr:rowOff>180975</xdr:rowOff>
    </xdr:to>
    <xdr:sp>
      <xdr:nvSpPr>
        <xdr:cNvPr id="26" name="Line 26"/>
        <xdr:cNvSpPr>
          <a:spLocks/>
        </xdr:cNvSpPr>
      </xdr:nvSpPr>
      <xdr:spPr>
        <a:xfrm flipH="1" flipV="1">
          <a:off x="7781925" y="10191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27" name="Line 27"/>
        <xdr:cNvSpPr>
          <a:spLocks/>
        </xdr:cNvSpPr>
      </xdr:nvSpPr>
      <xdr:spPr>
        <a:xfrm flipH="1" flipV="1">
          <a:off x="778192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28" name="Line 28"/>
        <xdr:cNvSpPr>
          <a:spLocks/>
        </xdr:cNvSpPr>
      </xdr:nvSpPr>
      <xdr:spPr>
        <a:xfrm flipH="1" flipV="1">
          <a:off x="778192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29" name="Line 29"/>
        <xdr:cNvSpPr>
          <a:spLocks/>
        </xdr:cNvSpPr>
      </xdr:nvSpPr>
      <xdr:spPr>
        <a:xfrm flipH="1" flipV="1">
          <a:off x="778192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30" name="Line 30"/>
        <xdr:cNvSpPr>
          <a:spLocks/>
        </xdr:cNvSpPr>
      </xdr:nvSpPr>
      <xdr:spPr>
        <a:xfrm flipH="1" flipV="1">
          <a:off x="778192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31" name="Line 31"/>
        <xdr:cNvSpPr>
          <a:spLocks/>
        </xdr:cNvSpPr>
      </xdr:nvSpPr>
      <xdr:spPr>
        <a:xfrm flipH="1" flipV="1">
          <a:off x="778192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32" name="Line 32"/>
        <xdr:cNvSpPr>
          <a:spLocks/>
        </xdr:cNvSpPr>
      </xdr:nvSpPr>
      <xdr:spPr>
        <a:xfrm flipH="1" flipV="1">
          <a:off x="778192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33" name="Line 33"/>
        <xdr:cNvSpPr>
          <a:spLocks/>
        </xdr:cNvSpPr>
      </xdr:nvSpPr>
      <xdr:spPr>
        <a:xfrm flipH="1" flipV="1">
          <a:off x="778192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34" name="Line 34"/>
        <xdr:cNvSpPr>
          <a:spLocks/>
        </xdr:cNvSpPr>
      </xdr:nvSpPr>
      <xdr:spPr>
        <a:xfrm flipH="1" flipV="1">
          <a:off x="778192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35" name="Line 35"/>
        <xdr:cNvSpPr>
          <a:spLocks/>
        </xdr:cNvSpPr>
      </xdr:nvSpPr>
      <xdr:spPr>
        <a:xfrm flipH="1" flipV="1">
          <a:off x="778192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36" name="Line 36"/>
        <xdr:cNvSpPr>
          <a:spLocks/>
        </xdr:cNvSpPr>
      </xdr:nvSpPr>
      <xdr:spPr>
        <a:xfrm flipH="1" flipV="1">
          <a:off x="778192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828675</xdr:colOff>
      <xdr:row>41</xdr:row>
      <xdr:rowOff>180975</xdr:rowOff>
    </xdr:to>
    <xdr:sp>
      <xdr:nvSpPr>
        <xdr:cNvPr id="37" name="Line 37"/>
        <xdr:cNvSpPr>
          <a:spLocks/>
        </xdr:cNvSpPr>
      </xdr:nvSpPr>
      <xdr:spPr>
        <a:xfrm flipH="1" flipV="1">
          <a:off x="9525" y="734377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828675</xdr:colOff>
      <xdr:row>42</xdr:row>
      <xdr:rowOff>180975</xdr:rowOff>
    </xdr:to>
    <xdr:sp>
      <xdr:nvSpPr>
        <xdr:cNvPr id="38" name="Line 38"/>
        <xdr:cNvSpPr>
          <a:spLocks/>
        </xdr:cNvSpPr>
      </xdr:nvSpPr>
      <xdr:spPr>
        <a:xfrm flipH="1" flipV="1">
          <a:off x="19050" y="751522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39" name="Line 39"/>
        <xdr:cNvSpPr>
          <a:spLocks/>
        </xdr:cNvSpPr>
      </xdr:nvSpPr>
      <xdr:spPr>
        <a:xfrm flipH="1" flipV="1">
          <a:off x="778192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40" name="Line 40"/>
        <xdr:cNvSpPr>
          <a:spLocks/>
        </xdr:cNvSpPr>
      </xdr:nvSpPr>
      <xdr:spPr>
        <a:xfrm flipH="1" flipV="1">
          <a:off x="778192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41" name="Line 41"/>
        <xdr:cNvSpPr>
          <a:spLocks/>
        </xdr:cNvSpPr>
      </xdr:nvSpPr>
      <xdr:spPr>
        <a:xfrm flipH="1" flipV="1">
          <a:off x="778192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42" name="Line 42"/>
        <xdr:cNvSpPr>
          <a:spLocks/>
        </xdr:cNvSpPr>
      </xdr:nvSpPr>
      <xdr:spPr>
        <a:xfrm flipH="1" flipV="1">
          <a:off x="778192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43" name="Line 43"/>
        <xdr:cNvSpPr>
          <a:spLocks/>
        </xdr:cNvSpPr>
      </xdr:nvSpPr>
      <xdr:spPr>
        <a:xfrm flipH="1" flipV="1">
          <a:off x="9525" y="1462087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44" name="Line 44"/>
        <xdr:cNvSpPr>
          <a:spLocks/>
        </xdr:cNvSpPr>
      </xdr:nvSpPr>
      <xdr:spPr>
        <a:xfrm flipH="1" flipV="1">
          <a:off x="19050" y="1478280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45" name="Line 45"/>
        <xdr:cNvSpPr>
          <a:spLocks/>
        </xdr:cNvSpPr>
      </xdr:nvSpPr>
      <xdr:spPr>
        <a:xfrm flipH="1" flipV="1">
          <a:off x="778192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46" name="Line 46"/>
        <xdr:cNvSpPr>
          <a:spLocks/>
        </xdr:cNvSpPr>
      </xdr:nvSpPr>
      <xdr:spPr>
        <a:xfrm flipH="1" flipV="1">
          <a:off x="778192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47" name="Line 47"/>
        <xdr:cNvSpPr>
          <a:spLocks/>
        </xdr:cNvSpPr>
      </xdr:nvSpPr>
      <xdr:spPr>
        <a:xfrm flipH="1" flipV="1">
          <a:off x="778192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48" name="Line 48"/>
        <xdr:cNvSpPr>
          <a:spLocks/>
        </xdr:cNvSpPr>
      </xdr:nvSpPr>
      <xdr:spPr>
        <a:xfrm flipH="1" flipV="1">
          <a:off x="778192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38100</xdr:rowOff>
    </xdr:from>
    <xdr:to>
      <xdr:col>1</xdr:col>
      <xdr:colOff>0</xdr:colOff>
      <xdr:row>5</xdr:row>
      <xdr:rowOff>180975</xdr:rowOff>
    </xdr:to>
    <xdr:sp>
      <xdr:nvSpPr>
        <xdr:cNvPr id="1" name="Line 1"/>
        <xdr:cNvSpPr>
          <a:spLocks/>
        </xdr:cNvSpPr>
      </xdr:nvSpPr>
      <xdr:spPr>
        <a:xfrm flipH="1" flipV="1">
          <a:off x="9525" y="84772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5</xdr:row>
      <xdr:rowOff>28575</xdr:rowOff>
    </xdr:from>
    <xdr:to>
      <xdr:col>0</xdr:col>
      <xdr:colOff>828675</xdr:colOff>
      <xdr:row>6</xdr:row>
      <xdr:rowOff>180975</xdr:rowOff>
    </xdr:to>
    <xdr:sp>
      <xdr:nvSpPr>
        <xdr:cNvPr id="2" name="Line 2"/>
        <xdr:cNvSpPr>
          <a:spLocks/>
        </xdr:cNvSpPr>
      </xdr:nvSpPr>
      <xdr:spPr>
        <a:xfrm flipH="1" flipV="1">
          <a:off x="19050" y="101917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41</xdr:row>
      <xdr:rowOff>38100</xdr:rowOff>
    </xdr:from>
    <xdr:to>
      <xdr:col>0</xdr:col>
      <xdr:colOff>828675</xdr:colOff>
      <xdr:row>42</xdr:row>
      <xdr:rowOff>180975</xdr:rowOff>
    </xdr:to>
    <xdr:sp>
      <xdr:nvSpPr>
        <xdr:cNvPr id="3" name="Line 3"/>
        <xdr:cNvSpPr>
          <a:spLocks/>
        </xdr:cNvSpPr>
      </xdr:nvSpPr>
      <xdr:spPr>
        <a:xfrm flipH="1" flipV="1">
          <a:off x="9525" y="7429500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42</xdr:row>
      <xdr:rowOff>28575</xdr:rowOff>
    </xdr:from>
    <xdr:to>
      <xdr:col>0</xdr:col>
      <xdr:colOff>828675</xdr:colOff>
      <xdr:row>43</xdr:row>
      <xdr:rowOff>180975</xdr:rowOff>
    </xdr:to>
    <xdr:sp>
      <xdr:nvSpPr>
        <xdr:cNvPr id="4" name="Line 4"/>
        <xdr:cNvSpPr>
          <a:spLocks/>
        </xdr:cNvSpPr>
      </xdr:nvSpPr>
      <xdr:spPr>
        <a:xfrm flipH="1" flipV="1">
          <a:off x="19050" y="7600950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81</xdr:row>
      <xdr:rowOff>38100</xdr:rowOff>
    </xdr:from>
    <xdr:to>
      <xdr:col>0</xdr:col>
      <xdr:colOff>828675</xdr:colOff>
      <xdr:row>82</xdr:row>
      <xdr:rowOff>171450</xdr:rowOff>
    </xdr:to>
    <xdr:sp>
      <xdr:nvSpPr>
        <xdr:cNvPr id="5" name="Line 5"/>
        <xdr:cNvSpPr>
          <a:spLocks/>
        </xdr:cNvSpPr>
      </xdr:nvSpPr>
      <xdr:spPr>
        <a:xfrm flipH="1" flipV="1">
          <a:off x="9525" y="1470660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82</xdr:row>
      <xdr:rowOff>28575</xdr:rowOff>
    </xdr:from>
    <xdr:to>
      <xdr:col>0</xdr:col>
      <xdr:colOff>828675</xdr:colOff>
      <xdr:row>83</xdr:row>
      <xdr:rowOff>171450</xdr:rowOff>
    </xdr:to>
    <xdr:sp>
      <xdr:nvSpPr>
        <xdr:cNvPr id="6" name="Line 6"/>
        <xdr:cNvSpPr>
          <a:spLocks/>
        </xdr:cNvSpPr>
      </xdr:nvSpPr>
      <xdr:spPr>
        <a:xfrm flipH="1" flipV="1">
          <a:off x="19050" y="1486852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38100</xdr:rowOff>
    </xdr:from>
    <xdr:to>
      <xdr:col>15</xdr:col>
      <xdr:colOff>0</xdr:colOff>
      <xdr:row>5</xdr:row>
      <xdr:rowOff>180975</xdr:rowOff>
    </xdr:to>
    <xdr:sp>
      <xdr:nvSpPr>
        <xdr:cNvPr id="7" name="Line 7"/>
        <xdr:cNvSpPr>
          <a:spLocks/>
        </xdr:cNvSpPr>
      </xdr:nvSpPr>
      <xdr:spPr>
        <a:xfrm flipH="1" flipV="1">
          <a:off x="7781925" y="8477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28575</xdr:rowOff>
    </xdr:from>
    <xdr:to>
      <xdr:col>15</xdr:col>
      <xdr:colOff>0</xdr:colOff>
      <xdr:row>6</xdr:row>
      <xdr:rowOff>180975</xdr:rowOff>
    </xdr:to>
    <xdr:sp>
      <xdr:nvSpPr>
        <xdr:cNvPr id="8" name="Line 8"/>
        <xdr:cNvSpPr>
          <a:spLocks/>
        </xdr:cNvSpPr>
      </xdr:nvSpPr>
      <xdr:spPr>
        <a:xfrm flipH="1" flipV="1">
          <a:off x="7781925" y="10191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38100</xdr:rowOff>
    </xdr:from>
    <xdr:to>
      <xdr:col>15</xdr:col>
      <xdr:colOff>0</xdr:colOff>
      <xdr:row>42</xdr:row>
      <xdr:rowOff>180975</xdr:rowOff>
    </xdr:to>
    <xdr:sp>
      <xdr:nvSpPr>
        <xdr:cNvPr id="9" name="Line 9"/>
        <xdr:cNvSpPr>
          <a:spLocks/>
        </xdr:cNvSpPr>
      </xdr:nvSpPr>
      <xdr:spPr>
        <a:xfrm flipH="1" flipV="1">
          <a:off x="7781925" y="74295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28575</xdr:rowOff>
    </xdr:from>
    <xdr:to>
      <xdr:col>15</xdr:col>
      <xdr:colOff>0</xdr:colOff>
      <xdr:row>43</xdr:row>
      <xdr:rowOff>180975</xdr:rowOff>
    </xdr:to>
    <xdr:sp>
      <xdr:nvSpPr>
        <xdr:cNvPr id="10" name="Line 10"/>
        <xdr:cNvSpPr>
          <a:spLocks/>
        </xdr:cNvSpPr>
      </xdr:nvSpPr>
      <xdr:spPr>
        <a:xfrm flipH="1" flipV="1">
          <a:off x="7781925" y="76009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38100</xdr:rowOff>
    </xdr:from>
    <xdr:to>
      <xdr:col>15</xdr:col>
      <xdr:colOff>0</xdr:colOff>
      <xdr:row>82</xdr:row>
      <xdr:rowOff>171450</xdr:rowOff>
    </xdr:to>
    <xdr:sp>
      <xdr:nvSpPr>
        <xdr:cNvPr id="11" name="Line 11"/>
        <xdr:cNvSpPr>
          <a:spLocks/>
        </xdr:cNvSpPr>
      </xdr:nvSpPr>
      <xdr:spPr>
        <a:xfrm flipH="1" flipV="1">
          <a:off x="77819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82</xdr:row>
      <xdr:rowOff>28575</xdr:rowOff>
    </xdr:from>
    <xdr:to>
      <xdr:col>15</xdr:col>
      <xdr:colOff>0</xdr:colOff>
      <xdr:row>83</xdr:row>
      <xdr:rowOff>171450</xdr:rowOff>
    </xdr:to>
    <xdr:sp>
      <xdr:nvSpPr>
        <xdr:cNvPr id="12" name="Line 12"/>
        <xdr:cNvSpPr>
          <a:spLocks/>
        </xdr:cNvSpPr>
      </xdr:nvSpPr>
      <xdr:spPr>
        <a:xfrm flipH="1" flipV="1">
          <a:off x="77819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41</xdr:row>
      <xdr:rowOff>38100</xdr:rowOff>
    </xdr:from>
    <xdr:to>
      <xdr:col>0</xdr:col>
      <xdr:colOff>828675</xdr:colOff>
      <xdr:row>42</xdr:row>
      <xdr:rowOff>180975</xdr:rowOff>
    </xdr:to>
    <xdr:sp>
      <xdr:nvSpPr>
        <xdr:cNvPr id="13" name="Line 13"/>
        <xdr:cNvSpPr>
          <a:spLocks/>
        </xdr:cNvSpPr>
      </xdr:nvSpPr>
      <xdr:spPr>
        <a:xfrm flipH="1" flipV="1">
          <a:off x="9525" y="7429500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42</xdr:row>
      <xdr:rowOff>28575</xdr:rowOff>
    </xdr:from>
    <xdr:to>
      <xdr:col>0</xdr:col>
      <xdr:colOff>828675</xdr:colOff>
      <xdr:row>43</xdr:row>
      <xdr:rowOff>180975</xdr:rowOff>
    </xdr:to>
    <xdr:sp>
      <xdr:nvSpPr>
        <xdr:cNvPr id="14" name="Line 14"/>
        <xdr:cNvSpPr>
          <a:spLocks/>
        </xdr:cNvSpPr>
      </xdr:nvSpPr>
      <xdr:spPr>
        <a:xfrm flipH="1" flipV="1">
          <a:off x="19050" y="7600950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38100</xdr:rowOff>
    </xdr:from>
    <xdr:to>
      <xdr:col>15</xdr:col>
      <xdr:colOff>0</xdr:colOff>
      <xdr:row>42</xdr:row>
      <xdr:rowOff>180975</xdr:rowOff>
    </xdr:to>
    <xdr:sp>
      <xdr:nvSpPr>
        <xdr:cNvPr id="15" name="Line 15"/>
        <xdr:cNvSpPr>
          <a:spLocks/>
        </xdr:cNvSpPr>
      </xdr:nvSpPr>
      <xdr:spPr>
        <a:xfrm flipH="1" flipV="1">
          <a:off x="7781925" y="74295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28575</xdr:rowOff>
    </xdr:from>
    <xdr:to>
      <xdr:col>15</xdr:col>
      <xdr:colOff>0</xdr:colOff>
      <xdr:row>43</xdr:row>
      <xdr:rowOff>180975</xdr:rowOff>
    </xdr:to>
    <xdr:sp>
      <xdr:nvSpPr>
        <xdr:cNvPr id="16" name="Line 16"/>
        <xdr:cNvSpPr>
          <a:spLocks/>
        </xdr:cNvSpPr>
      </xdr:nvSpPr>
      <xdr:spPr>
        <a:xfrm flipH="1" flipV="1">
          <a:off x="7781925" y="76009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81</xdr:row>
      <xdr:rowOff>38100</xdr:rowOff>
    </xdr:from>
    <xdr:to>
      <xdr:col>0</xdr:col>
      <xdr:colOff>828675</xdr:colOff>
      <xdr:row>82</xdr:row>
      <xdr:rowOff>171450</xdr:rowOff>
    </xdr:to>
    <xdr:sp>
      <xdr:nvSpPr>
        <xdr:cNvPr id="17" name="Line 17"/>
        <xdr:cNvSpPr>
          <a:spLocks/>
        </xdr:cNvSpPr>
      </xdr:nvSpPr>
      <xdr:spPr>
        <a:xfrm flipH="1" flipV="1">
          <a:off x="9525" y="1470660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82</xdr:row>
      <xdr:rowOff>28575</xdr:rowOff>
    </xdr:from>
    <xdr:to>
      <xdr:col>0</xdr:col>
      <xdr:colOff>828675</xdr:colOff>
      <xdr:row>83</xdr:row>
      <xdr:rowOff>171450</xdr:rowOff>
    </xdr:to>
    <xdr:sp>
      <xdr:nvSpPr>
        <xdr:cNvPr id="18" name="Line 18"/>
        <xdr:cNvSpPr>
          <a:spLocks/>
        </xdr:cNvSpPr>
      </xdr:nvSpPr>
      <xdr:spPr>
        <a:xfrm flipH="1" flipV="1">
          <a:off x="19050" y="1486852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38100</xdr:rowOff>
    </xdr:from>
    <xdr:to>
      <xdr:col>15</xdr:col>
      <xdr:colOff>0</xdr:colOff>
      <xdr:row>82</xdr:row>
      <xdr:rowOff>171450</xdr:rowOff>
    </xdr:to>
    <xdr:sp>
      <xdr:nvSpPr>
        <xdr:cNvPr id="19" name="Line 19"/>
        <xdr:cNvSpPr>
          <a:spLocks/>
        </xdr:cNvSpPr>
      </xdr:nvSpPr>
      <xdr:spPr>
        <a:xfrm flipH="1" flipV="1">
          <a:off x="77819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82</xdr:row>
      <xdr:rowOff>28575</xdr:rowOff>
    </xdr:from>
    <xdr:to>
      <xdr:col>15</xdr:col>
      <xdr:colOff>0</xdr:colOff>
      <xdr:row>83</xdr:row>
      <xdr:rowOff>171450</xdr:rowOff>
    </xdr:to>
    <xdr:sp>
      <xdr:nvSpPr>
        <xdr:cNvPr id="20" name="Line 20"/>
        <xdr:cNvSpPr>
          <a:spLocks/>
        </xdr:cNvSpPr>
      </xdr:nvSpPr>
      <xdr:spPr>
        <a:xfrm flipH="1" flipV="1">
          <a:off x="77819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81</xdr:row>
      <xdr:rowOff>38100</xdr:rowOff>
    </xdr:from>
    <xdr:to>
      <xdr:col>0</xdr:col>
      <xdr:colOff>828675</xdr:colOff>
      <xdr:row>82</xdr:row>
      <xdr:rowOff>171450</xdr:rowOff>
    </xdr:to>
    <xdr:sp>
      <xdr:nvSpPr>
        <xdr:cNvPr id="21" name="Line 21"/>
        <xdr:cNvSpPr>
          <a:spLocks/>
        </xdr:cNvSpPr>
      </xdr:nvSpPr>
      <xdr:spPr>
        <a:xfrm flipH="1" flipV="1">
          <a:off x="9525" y="1470660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82</xdr:row>
      <xdr:rowOff>28575</xdr:rowOff>
    </xdr:from>
    <xdr:to>
      <xdr:col>0</xdr:col>
      <xdr:colOff>828675</xdr:colOff>
      <xdr:row>83</xdr:row>
      <xdr:rowOff>171450</xdr:rowOff>
    </xdr:to>
    <xdr:sp>
      <xdr:nvSpPr>
        <xdr:cNvPr id="22" name="Line 22"/>
        <xdr:cNvSpPr>
          <a:spLocks/>
        </xdr:cNvSpPr>
      </xdr:nvSpPr>
      <xdr:spPr>
        <a:xfrm flipH="1" flipV="1">
          <a:off x="19050" y="1486852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38100</xdr:rowOff>
    </xdr:from>
    <xdr:to>
      <xdr:col>15</xdr:col>
      <xdr:colOff>0</xdr:colOff>
      <xdr:row>82</xdr:row>
      <xdr:rowOff>171450</xdr:rowOff>
    </xdr:to>
    <xdr:sp>
      <xdr:nvSpPr>
        <xdr:cNvPr id="23" name="Line 23"/>
        <xdr:cNvSpPr>
          <a:spLocks/>
        </xdr:cNvSpPr>
      </xdr:nvSpPr>
      <xdr:spPr>
        <a:xfrm flipH="1" flipV="1">
          <a:off x="77819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82</xdr:row>
      <xdr:rowOff>28575</xdr:rowOff>
    </xdr:from>
    <xdr:to>
      <xdr:col>15</xdr:col>
      <xdr:colOff>0</xdr:colOff>
      <xdr:row>83</xdr:row>
      <xdr:rowOff>171450</xdr:rowOff>
    </xdr:to>
    <xdr:sp>
      <xdr:nvSpPr>
        <xdr:cNvPr id="24" name="Line 24"/>
        <xdr:cNvSpPr>
          <a:spLocks/>
        </xdr:cNvSpPr>
      </xdr:nvSpPr>
      <xdr:spPr>
        <a:xfrm flipH="1" flipV="1">
          <a:off x="77819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38100</xdr:rowOff>
    </xdr:from>
    <xdr:to>
      <xdr:col>15</xdr:col>
      <xdr:colOff>0</xdr:colOff>
      <xdr:row>5</xdr:row>
      <xdr:rowOff>180975</xdr:rowOff>
    </xdr:to>
    <xdr:sp>
      <xdr:nvSpPr>
        <xdr:cNvPr id="25" name="Line 25"/>
        <xdr:cNvSpPr>
          <a:spLocks/>
        </xdr:cNvSpPr>
      </xdr:nvSpPr>
      <xdr:spPr>
        <a:xfrm flipH="1" flipV="1">
          <a:off x="7781925" y="8477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28575</xdr:rowOff>
    </xdr:from>
    <xdr:to>
      <xdr:col>15</xdr:col>
      <xdr:colOff>0</xdr:colOff>
      <xdr:row>6</xdr:row>
      <xdr:rowOff>180975</xdr:rowOff>
    </xdr:to>
    <xdr:sp>
      <xdr:nvSpPr>
        <xdr:cNvPr id="26" name="Line 26"/>
        <xdr:cNvSpPr>
          <a:spLocks/>
        </xdr:cNvSpPr>
      </xdr:nvSpPr>
      <xdr:spPr>
        <a:xfrm flipH="1" flipV="1">
          <a:off x="7781925" y="10191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38100</xdr:rowOff>
    </xdr:from>
    <xdr:to>
      <xdr:col>15</xdr:col>
      <xdr:colOff>0</xdr:colOff>
      <xdr:row>42</xdr:row>
      <xdr:rowOff>180975</xdr:rowOff>
    </xdr:to>
    <xdr:sp>
      <xdr:nvSpPr>
        <xdr:cNvPr id="27" name="Line 27"/>
        <xdr:cNvSpPr>
          <a:spLocks/>
        </xdr:cNvSpPr>
      </xdr:nvSpPr>
      <xdr:spPr>
        <a:xfrm flipH="1" flipV="1">
          <a:off x="7781925" y="74295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28575</xdr:rowOff>
    </xdr:from>
    <xdr:to>
      <xdr:col>15</xdr:col>
      <xdr:colOff>0</xdr:colOff>
      <xdr:row>43</xdr:row>
      <xdr:rowOff>180975</xdr:rowOff>
    </xdr:to>
    <xdr:sp>
      <xdr:nvSpPr>
        <xdr:cNvPr id="28" name="Line 28"/>
        <xdr:cNvSpPr>
          <a:spLocks/>
        </xdr:cNvSpPr>
      </xdr:nvSpPr>
      <xdr:spPr>
        <a:xfrm flipH="1" flipV="1">
          <a:off x="7781925" y="76009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38100</xdr:rowOff>
    </xdr:from>
    <xdr:to>
      <xdr:col>15</xdr:col>
      <xdr:colOff>0</xdr:colOff>
      <xdr:row>82</xdr:row>
      <xdr:rowOff>171450</xdr:rowOff>
    </xdr:to>
    <xdr:sp>
      <xdr:nvSpPr>
        <xdr:cNvPr id="29" name="Line 29"/>
        <xdr:cNvSpPr>
          <a:spLocks/>
        </xdr:cNvSpPr>
      </xdr:nvSpPr>
      <xdr:spPr>
        <a:xfrm flipH="1" flipV="1">
          <a:off x="77819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82</xdr:row>
      <xdr:rowOff>28575</xdr:rowOff>
    </xdr:from>
    <xdr:to>
      <xdr:col>15</xdr:col>
      <xdr:colOff>0</xdr:colOff>
      <xdr:row>83</xdr:row>
      <xdr:rowOff>171450</xdr:rowOff>
    </xdr:to>
    <xdr:sp>
      <xdr:nvSpPr>
        <xdr:cNvPr id="30" name="Line 30"/>
        <xdr:cNvSpPr>
          <a:spLocks/>
        </xdr:cNvSpPr>
      </xdr:nvSpPr>
      <xdr:spPr>
        <a:xfrm flipH="1" flipV="1">
          <a:off x="77819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38100</xdr:rowOff>
    </xdr:from>
    <xdr:to>
      <xdr:col>15</xdr:col>
      <xdr:colOff>0</xdr:colOff>
      <xdr:row>42</xdr:row>
      <xdr:rowOff>180975</xdr:rowOff>
    </xdr:to>
    <xdr:sp>
      <xdr:nvSpPr>
        <xdr:cNvPr id="31" name="Line 31"/>
        <xdr:cNvSpPr>
          <a:spLocks/>
        </xdr:cNvSpPr>
      </xdr:nvSpPr>
      <xdr:spPr>
        <a:xfrm flipH="1" flipV="1">
          <a:off x="7781925" y="74295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28575</xdr:rowOff>
    </xdr:from>
    <xdr:to>
      <xdr:col>15</xdr:col>
      <xdr:colOff>0</xdr:colOff>
      <xdr:row>43</xdr:row>
      <xdr:rowOff>180975</xdr:rowOff>
    </xdr:to>
    <xdr:sp>
      <xdr:nvSpPr>
        <xdr:cNvPr id="32" name="Line 32"/>
        <xdr:cNvSpPr>
          <a:spLocks/>
        </xdr:cNvSpPr>
      </xdr:nvSpPr>
      <xdr:spPr>
        <a:xfrm flipH="1" flipV="1">
          <a:off x="7781925" y="76009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38100</xdr:rowOff>
    </xdr:from>
    <xdr:to>
      <xdr:col>15</xdr:col>
      <xdr:colOff>0</xdr:colOff>
      <xdr:row>82</xdr:row>
      <xdr:rowOff>171450</xdr:rowOff>
    </xdr:to>
    <xdr:sp>
      <xdr:nvSpPr>
        <xdr:cNvPr id="33" name="Line 33"/>
        <xdr:cNvSpPr>
          <a:spLocks/>
        </xdr:cNvSpPr>
      </xdr:nvSpPr>
      <xdr:spPr>
        <a:xfrm flipH="1" flipV="1">
          <a:off x="77819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82</xdr:row>
      <xdr:rowOff>28575</xdr:rowOff>
    </xdr:from>
    <xdr:to>
      <xdr:col>15</xdr:col>
      <xdr:colOff>0</xdr:colOff>
      <xdr:row>83</xdr:row>
      <xdr:rowOff>171450</xdr:rowOff>
    </xdr:to>
    <xdr:sp>
      <xdr:nvSpPr>
        <xdr:cNvPr id="34" name="Line 34"/>
        <xdr:cNvSpPr>
          <a:spLocks/>
        </xdr:cNvSpPr>
      </xdr:nvSpPr>
      <xdr:spPr>
        <a:xfrm flipH="1" flipV="1">
          <a:off x="77819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38100</xdr:rowOff>
    </xdr:from>
    <xdr:to>
      <xdr:col>15</xdr:col>
      <xdr:colOff>0</xdr:colOff>
      <xdr:row>82</xdr:row>
      <xdr:rowOff>171450</xdr:rowOff>
    </xdr:to>
    <xdr:sp>
      <xdr:nvSpPr>
        <xdr:cNvPr id="35" name="Line 35"/>
        <xdr:cNvSpPr>
          <a:spLocks/>
        </xdr:cNvSpPr>
      </xdr:nvSpPr>
      <xdr:spPr>
        <a:xfrm flipH="1" flipV="1">
          <a:off x="77819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82</xdr:row>
      <xdr:rowOff>28575</xdr:rowOff>
    </xdr:from>
    <xdr:to>
      <xdr:col>15</xdr:col>
      <xdr:colOff>0</xdr:colOff>
      <xdr:row>83</xdr:row>
      <xdr:rowOff>171450</xdr:rowOff>
    </xdr:to>
    <xdr:sp>
      <xdr:nvSpPr>
        <xdr:cNvPr id="36" name="Line 36"/>
        <xdr:cNvSpPr>
          <a:spLocks/>
        </xdr:cNvSpPr>
      </xdr:nvSpPr>
      <xdr:spPr>
        <a:xfrm flipH="1" flipV="1">
          <a:off x="77819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41</xdr:row>
      <xdr:rowOff>38100</xdr:rowOff>
    </xdr:from>
    <xdr:to>
      <xdr:col>0</xdr:col>
      <xdr:colOff>828675</xdr:colOff>
      <xdr:row>42</xdr:row>
      <xdr:rowOff>180975</xdr:rowOff>
    </xdr:to>
    <xdr:sp>
      <xdr:nvSpPr>
        <xdr:cNvPr id="37" name="Line 37"/>
        <xdr:cNvSpPr>
          <a:spLocks/>
        </xdr:cNvSpPr>
      </xdr:nvSpPr>
      <xdr:spPr>
        <a:xfrm flipH="1" flipV="1">
          <a:off x="9525" y="7429500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42</xdr:row>
      <xdr:rowOff>28575</xdr:rowOff>
    </xdr:from>
    <xdr:to>
      <xdr:col>0</xdr:col>
      <xdr:colOff>828675</xdr:colOff>
      <xdr:row>43</xdr:row>
      <xdr:rowOff>180975</xdr:rowOff>
    </xdr:to>
    <xdr:sp>
      <xdr:nvSpPr>
        <xdr:cNvPr id="38" name="Line 38"/>
        <xdr:cNvSpPr>
          <a:spLocks/>
        </xdr:cNvSpPr>
      </xdr:nvSpPr>
      <xdr:spPr>
        <a:xfrm flipH="1" flipV="1">
          <a:off x="19050" y="7600950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38100</xdr:rowOff>
    </xdr:from>
    <xdr:to>
      <xdr:col>15</xdr:col>
      <xdr:colOff>0</xdr:colOff>
      <xdr:row>42</xdr:row>
      <xdr:rowOff>180975</xdr:rowOff>
    </xdr:to>
    <xdr:sp>
      <xdr:nvSpPr>
        <xdr:cNvPr id="39" name="Line 39"/>
        <xdr:cNvSpPr>
          <a:spLocks/>
        </xdr:cNvSpPr>
      </xdr:nvSpPr>
      <xdr:spPr>
        <a:xfrm flipH="1" flipV="1">
          <a:off x="7781925" y="74295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28575</xdr:rowOff>
    </xdr:from>
    <xdr:to>
      <xdr:col>15</xdr:col>
      <xdr:colOff>0</xdr:colOff>
      <xdr:row>43</xdr:row>
      <xdr:rowOff>180975</xdr:rowOff>
    </xdr:to>
    <xdr:sp>
      <xdr:nvSpPr>
        <xdr:cNvPr id="40" name="Line 40"/>
        <xdr:cNvSpPr>
          <a:spLocks/>
        </xdr:cNvSpPr>
      </xdr:nvSpPr>
      <xdr:spPr>
        <a:xfrm flipH="1" flipV="1">
          <a:off x="7781925" y="76009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38100</xdr:rowOff>
    </xdr:from>
    <xdr:to>
      <xdr:col>15</xdr:col>
      <xdr:colOff>0</xdr:colOff>
      <xdr:row>42</xdr:row>
      <xdr:rowOff>180975</xdr:rowOff>
    </xdr:to>
    <xdr:sp>
      <xdr:nvSpPr>
        <xdr:cNvPr id="41" name="Line 41"/>
        <xdr:cNvSpPr>
          <a:spLocks/>
        </xdr:cNvSpPr>
      </xdr:nvSpPr>
      <xdr:spPr>
        <a:xfrm flipH="1" flipV="1">
          <a:off x="7781925" y="74295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28575</xdr:rowOff>
    </xdr:from>
    <xdr:to>
      <xdr:col>15</xdr:col>
      <xdr:colOff>0</xdr:colOff>
      <xdr:row>43</xdr:row>
      <xdr:rowOff>180975</xdr:rowOff>
    </xdr:to>
    <xdr:sp>
      <xdr:nvSpPr>
        <xdr:cNvPr id="42" name="Line 42"/>
        <xdr:cNvSpPr>
          <a:spLocks/>
        </xdr:cNvSpPr>
      </xdr:nvSpPr>
      <xdr:spPr>
        <a:xfrm flipH="1" flipV="1">
          <a:off x="7781925" y="76009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81</xdr:row>
      <xdr:rowOff>38100</xdr:rowOff>
    </xdr:from>
    <xdr:to>
      <xdr:col>0</xdr:col>
      <xdr:colOff>828675</xdr:colOff>
      <xdr:row>82</xdr:row>
      <xdr:rowOff>171450</xdr:rowOff>
    </xdr:to>
    <xdr:sp>
      <xdr:nvSpPr>
        <xdr:cNvPr id="43" name="Line 43"/>
        <xdr:cNvSpPr>
          <a:spLocks/>
        </xdr:cNvSpPr>
      </xdr:nvSpPr>
      <xdr:spPr>
        <a:xfrm flipH="1" flipV="1">
          <a:off x="9525" y="1470660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82</xdr:row>
      <xdr:rowOff>28575</xdr:rowOff>
    </xdr:from>
    <xdr:to>
      <xdr:col>0</xdr:col>
      <xdr:colOff>828675</xdr:colOff>
      <xdr:row>83</xdr:row>
      <xdr:rowOff>171450</xdr:rowOff>
    </xdr:to>
    <xdr:sp>
      <xdr:nvSpPr>
        <xdr:cNvPr id="44" name="Line 44"/>
        <xdr:cNvSpPr>
          <a:spLocks/>
        </xdr:cNvSpPr>
      </xdr:nvSpPr>
      <xdr:spPr>
        <a:xfrm flipH="1" flipV="1">
          <a:off x="19050" y="1486852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38100</xdr:rowOff>
    </xdr:from>
    <xdr:to>
      <xdr:col>15</xdr:col>
      <xdr:colOff>0</xdr:colOff>
      <xdr:row>82</xdr:row>
      <xdr:rowOff>171450</xdr:rowOff>
    </xdr:to>
    <xdr:sp>
      <xdr:nvSpPr>
        <xdr:cNvPr id="45" name="Line 45"/>
        <xdr:cNvSpPr>
          <a:spLocks/>
        </xdr:cNvSpPr>
      </xdr:nvSpPr>
      <xdr:spPr>
        <a:xfrm flipH="1" flipV="1">
          <a:off x="77819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82</xdr:row>
      <xdr:rowOff>28575</xdr:rowOff>
    </xdr:from>
    <xdr:to>
      <xdr:col>15</xdr:col>
      <xdr:colOff>0</xdr:colOff>
      <xdr:row>83</xdr:row>
      <xdr:rowOff>171450</xdr:rowOff>
    </xdr:to>
    <xdr:sp>
      <xdr:nvSpPr>
        <xdr:cNvPr id="46" name="Line 46"/>
        <xdr:cNvSpPr>
          <a:spLocks/>
        </xdr:cNvSpPr>
      </xdr:nvSpPr>
      <xdr:spPr>
        <a:xfrm flipH="1" flipV="1">
          <a:off x="77819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38100</xdr:rowOff>
    </xdr:from>
    <xdr:to>
      <xdr:col>15</xdr:col>
      <xdr:colOff>0</xdr:colOff>
      <xdr:row>82</xdr:row>
      <xdr:rowOff>171450</xdr:rowOff>
    </xdr:to>
    <xdr:sp>
      <xdr:nvSpPr>
        <xdr:cNvPr id="47" name="Line 47"/>
        <xdr:cNvSpPr>
          <a:spLocks/>
        </xdr:cNvSpPr>
      </xdr:nvSpPr>
      <xdr:spPr>
        <a:xfrm flipH="1" flipV="1">
          <a:off x="77819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82</xdr:row>
      <xdr:rowOff>28575</xdr:rowOff>
    </xdr:from>
    <xdr:to>
      <xdr:col>15</xdr:col>
      <xdr:colOff>0</xdr:colOff>
      <xdr:row>83</xdr:row>
      <xdr:rowOff>171450</xdr:rowOff>
    </xdr:to>
    <xdr:sp>
      <xdr:nvSpPr>
        <xdr:cNvPr id="48" name="Line 48"/>
        <xdr:cNvSpPr>
          <a:spLocks/>
        </xdr:cNvSpPr>
      </xdr:nvSpPr>
      <xdr:spPr>
        <a:xfrm flipH="1" flipV="1">
          <a:off x="77819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38100</xdr:rowOff>
    </xdr:from>
    <xdr:to>
      <xdr:col>1</xdr:col>
      <xdr:colOff>0</xdr:colOff>
      <xdr:row>6</xdr:row>
      <xdr:rowOff>180975</xdr:rowOff>
    </xdr:to>
    <xdr:sp>
      <xdr:nvSpPr>
        <xdr:cNvPr id="1" name="Line 1"/>
        <xdr:cNvSpPr>
          <a:spLocks/>
        </xdr:cNvSpPr>
      </xdr:nvSpPr>
      <xdr:spPr>
        <a:xfrm flipH="1" flipV="1">
          <a:off x="9525" y="105727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6</xdr:row>
      <xdr:rowOff>28575</xdr:rowOff>
    </xdr:from>
    <xdr:to>
      <xdr:col>0</xdr:col>
      <xdr:colOff>828675</xdr:colOff>
      <xdr:row>7</xdr:row>
      <xdr:rowOff>180975</xdr:rowOff>
    </xdr:to>
    <xdr:sp>
      <xdr:nvSpPr>
        <xdr:cNvPr id="2" name="Line 2"/>
        <xdr:cNvSpPr>
          <a:spLocks/>
        </xdr:cNvSpPr>
      </xdr:nvSpPr>
      <xdr:spPr>
        <a:xfrm flipH="1" flipV="1">
          <a:off x="19050" y="122872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41</xdr:row>
      <xdr:rowOff>38100</xdr:rowOff>
    </xdr:from>
    <xdr:to>
      <xdr:col>0</xdr:col>
      <xdr:colOff>828675</xdr:colOff>
      <xdr:row>42</xdr:row>
      <xdr:rowOff>180975</xdr:rowOff>
    </xdr:to>
    <xdr:sp>
      <xdr:nvSpPr>
        <xdr:cNvPr id="3" name="Line 3"/>
        <xdr:cNvSpPr>
          <a:spLocks/>
        </xdr:cNvSpPr>
      </xdr:nvSpPr>
      <xdr:spPr>
        <a:xfrm flipH="1" flipV="1">
          <a:off x="9525" y="755332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42</xdr:row>
      <xdr:rowOff>28575</xdr:rowOff>
    </xdr:from>
    <xdr:to>
      <xdr:col>0</xdr:col>
      <xdr:colOff>828675</xdr:colOff>
      <xdr:row>43</xdr:row>
      <xdr:rowOff>180975</xdr:rowOff>
    </xdr:to>
    <xdr:sp>
      <xdr:nvSpPr>
        <xdr:cNvPr id="4" name="Line 4"/>
        <xdr:cNvSpPr>
          <a:spLocks/>
        </xdr:cNvSpPr>
      </xdr:nvSpPr>
      <xdr:spPr>
        <a:xfrm flipH="1" flipV="1">
          <a:off x="19050" y="772477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81</xdr:row>
      <xdr:rowOff>38100</xdr:rowOff>
    </xdr:from>
    <xdr:to>
      <xdr:col>0</xdr:col>
      <xdr:colOff>828675</xdr:colOff>
      <xdr:row>82</xdr:row>
      <xdr:rowOff>171450</xdr:rowOff>
    </xdr:to>
    <xdr:sp>
      <xdr:nvSpPr>
        <xdr:cNvPr id="5" name="Line 5"/>
        <xdr:cNvSpPr>
          <a:spLocks/>
        </xdr:cNvSpPr>
      </xdr:nvSpPr>
      <xdr:spPr>
        <a:xfrm flipH="1" flipV="1">
          <a:off x="9525" y="1483042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82</xdr:row>
      <xdr:rowOff>28575</xdr:rowOff>
    </xdr:from>
    <xdr:to>
      <xdr:col>0</xdr:col>
      <xdr:colOff>828675</xdr:colOff>
      <xdr:row>83</xdr:row>
      <xdr:rowOff>171450</xdr:rowOff>
    </xdr:to>
    <xdr:sp>
      <xdr:nvSpPr>
        <xdr:cNvPr id="6" name="Line 6"/>
        <xdr:cNvSpPr>
          <a:spLocks/>
        </xdr:cNvSpPr>
      </xdr:nvSpPr>
      <xdr:spPr>
        <a:xfrm flipH="1" flipV="1">
          <a:off x="19050" y="1499235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38100</xdr:rowOff>
    </xdr:from>
    <xdr:to>
      <xdr:col>15</xdr:col>
      <xdr:colOff>0</xdr:colOff>
      <xdr:row>6</xdr:row>
      <xdr:rowOff>180975</xdr:rowOff>
    </xdr:to>
    <xdr:sp>
      <xdr:nvSpPr>
        <xdr:cNvPr id="7" name="Line 7"/>
        <xdr:cNvSpPr>
          <a:spLocks/>
        </xdr:cNvSpPr>
      </xdr:nvSpPr>
      <xdr:spPr>
        <a:xfrm flipH="1" flipV="1">
          <a:off x="7781925" y="10572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28575</xdr:rowOff>
    </xdr:from>
    <xdr:to>
      <xdr:col>15</xdr:col>
      <xdr:colOff>0</xdr:colOff>
      <xdr:row>7</xdr:row>
      <xdr:rowOff>180975</xdr:rowOff>
    </xdr:to>
    <xdr:sp>
      <xdr:nvSpPr>
        <xdr:cNvPr id="8" name="Line 8"/>
        <xdr:cNvSpPr>
          <a:spLocks/>
        </xdr:cNvSpPr>
      </xdr:nvSpPr>
      <xdr:spPr>
        <a:xfrm flipH="1" flipV="1">
          <a:off x="7781925" y="12287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38100</xdr:rowOff>
    </xdr:from>
    <xdr:to>
      <xdr:col>15</xdr:col>
      <xdr:colOff>0</xdr:colOff>
      <xdr:row>42</xdr:row>
      <xdr:rowOff>180975</xdr:rowOff>
    </xdr:to>
    <xdr:sp>
      <xdr:nvSpPr>
        <xdr:cNvPr id="9" name="Line 9"/>
        <xdr:cNvSpPr>
          <a:spLocks/>
        </xdr:cNvSpPr>
      </xdr:nvSpPr>
      <xdr:spPr>
        <a:xfrm flipH="1" flipV="1">
          <a:off x="7781925" y="75533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28575</xdr:rowOff>
    </xdr:from>
    <xdr:to>
      <xdr:col>15</xdr:col>
      <xdr:colOff>0</xdr:colOff>
      <xdr:row>43</xdr:row>
      <xdr:rowOff>180975</xdr:rowOff>
    </xdr:to>
    <xdr:sp>
      <xdr:nvSpPr>
        <xdr:cNvPr id="10" name="Line 10"/>
        <xdr:cNvSpPr>
          <a:spLocks/>
        </xdr:cNvSpPr>
      </xdr:nvSpPr>
      <xdr:spPr>
        <a:xfrm flipH="1" flipV="1">
          <a:off x="7781925" y="77247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38100</xdr:rowOff>
    </xdr:from>
    <xdr:to>
      <xdr:col>15</xdr:col>
      <xdr:colOff>0</xdr:colOff>
      <xdr:row>82</xdr:row>
      <xdr:rowOff>171450</xdr:rowOff>
    </xdr:to>
    <xdr:sp>
      <xdr:nvSpPr>
        <xdr:cNvPr id="11" name="Line 11"/>
        <xdr:cNvSpPr>
          <a:spLocks/>
        </xdr:cNvSpPr>
      </xdr:nvSpPr>
      <xdr:spPr>
        <a:xfrm flipH="1" flipV="1">
          <a:off x="7781925" y="148304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82</xdr:row>
      <xdr:rowOff>28575</xdr:rowOff>
    </xdr:from>
    <xdr:to>
      <xdr:col>15</xdr:col>
      <xdr:colOff>0</xdr:colOff>
      <xdr:row>83</xdr:row>
      <xdr:rowOff>171450</xdr:rowOff>
    </xdr:to>
    <xdr:sp>
      <xdr:nvSpPr>
        <xdr:cNvPr id="12" name="Line 12"/>
        <xdr:cNvSpPr>
          <a:spLocks/>
        </xdr:cNvSpPr>
      </xdr:nvSpPr>
      <xdr:spPr>
        <a:xfrm flipH="1" flipV="1">
          <a:off x="7781925" y="149923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41</xdr:row>
      <xdr:rowOff>38100</xdr:rowOff>
    </xdr:from>
    <xdr:to>
      <xdr:col>0</xdr:col>
      <xdr:colOff>828675</xdr:colOff>
      <xdr:row>42</xdr:row>
      <xdr:rowOff>180975</xdr:rowOff>
    </xdr:to>
    <xdr:sp>
      <xdr:nvSpPr>
        <xdr:cNvPr id="13" name="Line 13"/>
        <xdr:cNvSpPr>
          <a:spLocks/>
        </xdr:cNvSpPr>
      </xdr:nvSpPr>
      <xdr:spPr>
        <a:xfrm flipH="1" flipV="1">
          <a:off x="9525" y="755332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42</xdr:row>
      <xdr:rowOff>28575</xdr:rowOff>
    </xdr:from>
    <xdr:to>
      <xdr:col>0</xdr:col>
      <xdr:colOff>828675</xdr:colOff>
      <xdr:row>43</xdr:row>
      <xdr:rowOff>180975</xdr:rowOff>
    </xdr:to>
    <xdr:sp>
      <xdr:nvSpPr>
        <xdr:cNvPr id="14" name="Line 14"/>
        <xdr:cNvSpPr>
          <a:spLocks/>
        </xdr:cNvSpPr>
      </xdr:nvSpPr>
      <xdr:spPr>
        <a:xfrm flipH="1" flipV="1">
          <a:off x="19050" y="772477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38100</xdr:rowOff>
    </xdr:from>
    <xdr:to>
      <xdr:col>15</xdr:col>
      <xdr:colOff>0</xdr:colOff>
      <xdr:row>42</xdr:row>
      <xdr:rowOff>180975</xdr:rowOff>
    </xdr:to>
    <xdr:sp>
      <xdr:nvSpPr>
        <xdr:cNvPr id="15" name="Line 15"/>
        <xdr:cNvSpPr>
          <a:spLocks/>
        </xdr:cNvSpPr>
      </xdr:nvSpPr>
      <xdr:spPr>
        <a:xfrm flipH="1" flipV="1">
          <a:off x="7781925" y="75533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28575</xdr:rowOff>
    </xdr:from>
    <xdr:to>
      <xdr:col>15</xdr:col>
      <xdr:colOff>0</xdr:colOff>
      <xdr:row>43</xdr:row>
      <xdr:rowOff>180975</xdr:rowOff>
    </xdr:to>
    <xdr:sp>
      <xdr:nvSpPr>
        <xdr:cNvPr id="16" name="Line 16"/>
        <xdr:cNvSpPr>
          <a:spLocks/>
        </xdr:cNvSpPr>
      </xdr:nvSpPr>
      <xdr:spPr>
        <a:xfrm flipH="1" flipV="1">
          <a:off x="7781925" y="77247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81</xdr:row>
      <xdr:rowOff>38100</xdr:rowOff>
    </xdr:from>
    <xdr:to>
      <xdr:col>0</xdr:col>
      <xdr:colOff>828675</xdr:colOff>
      <xdr:row>82</xdr:row>
      <xdr:rowOff>171450</xdr:rowOff>
    </xdr:to>
    <xdr:sp>
      <xdr:nvSpPr>
        <xdr:cNvPr id="17" name="Line 17"/>
        <xdr:cNvSpPr>
          <a:spLocks/>
        </xdr:cNvSpPr>
      </xdr:nvSpPr>
      <xdr:spPr>
        <a:xfrm flipH="1" flipV="1">
          <a:off x="9525" y="1483042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82</xdr:row>
      <xdr:rowOff>28575</xdr:rowOff>
    </xdr:from>
    <xdr:to>
      <xdr:col>0</xdr:col>
      <xdr:colOff>828675</xdr:colOff>
      <xdr:row>83</xdr:row>
      <xdr:rowOff>171450</xdr:rowOff>
    </xdr:to>
    <xdr:sp>
      <xdr:nvSpPr>
        <xdr:cNvPr id="18" name="Line 18"/>
        <xdr:cNvSpPr>
          <a:spLocks/>
        </xdr:cNvSpPr>
      </xdr:nvSpPr>
      <xdr:spPr>
        <a:xfrm flipH="1" flipV="1">
          <a:off x="19050" y="1499235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38100</xdr:rowOff>
    </xdr:from>
    <xdr:to>
      <xdr:col>15</xdr:col>
      <xdr:colOff>0</xdr:colOff>
      <xdr:row>82</xdr:row>
      <xdr:rowOff>171450</xdr:rowOff>
    </xdr:to>
    <xdr:sp>
      <xdr:nvSpPr>
        <xdr:cNvPr id="19" name="Line 19"/>
        <xdr:cNvSpPr>
          <a:spLocks/>
        </xdr:cNvSpPr>
      </xdr:nvSpPr>
      <xdr:spPr>
        <a:xfrm flipH="1" flipV="1">
          <a:off x="7781925" y="148304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82</xdr:row>
      <xdr:rowOff>28575</xdr:rowOff>
    </xdr:from>
    <xdr:to>
      <xdr:col>15</xdr:col>
      <xdr:colOff>0</xdr:colOff>
      <xdr:row>83</xdr:row>
      <xdr:rowOff>171450</xdr:rowOff>
    </xdr:to>
    <xdr:sp>
      <xdr:nvSpPr>
        <xdr:cNvPr id="20" name="Line 20"/>
        <xdr:cNvSpPr>
          <a:spLocks/>
        </xdr:cNvSpPr>
      </xdr:nvSpPr>
      <xdr:spPr>
        <a:xfrm flipH="1" flipV="1">
          <a:off x="7781925" y="149923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81</xdr:row>
      <xdr:rowOff>38100</xdr:rowOff>
    </xdr:from>
    <xdr:to>
      <xdr:col>0</xdr:col>
      <xdr:colOff>828675</xdr:colOff>
      <xdr:row>82</xdr:row>
      <xdr:rowOff>171450</xdr:rowOff>
    </xdr:to>
    <xdr:sp>
      <xdr:nvSpPr>
        <xdr:cNvPr id="21" name="Line 21"/>
        <xdr:cNvSpPr>
          <a:spLocks/>
        </xdr:cNvSpPr>
      </xdr:nvSpPr>
      <xdr:spPr>
        <a:xfrm flipH="1" flipV="1">
          <a:off x="9525" y="1483042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82</xdr:row>
      <xdr:rowOff>28575</xdr:rowOff>
    </xdr:from>
    <xdr:to>
      <xdr:col>0</xdr:col>
      <xdr:colOff>828675</xdr:colOff>
      <xdr:row>83</xdr:row>
      <xdr:rowOff>171450</xdr:rowOff>
    </xdr:to>
    <xdr:sp>
      <xdr:nvSpPr>
        <xdr:cNvPr id="22" name="Line 22"/>
        <xdr:cNvSpPr>
          <a:spLocks/>
        </xdr:cNvSpPr>
      </xdr:nvSpPr>
      <xdr:spPr>
        <a:xfrm flipH="1" flipV="1">
          <a:off x="19050" y="1499235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38100</xdr:rowOff>
    </xdr:from>
    <xdr:to>
      <xdr:col>15</xdr:col>
      <xdr:colOff>0</xdr:colOff>
      <xdr:row>82</xdr:row>
      <xdr:rowOff>171450</xdr:rowOff>
    </xdr:to>
    <xdr:sp>
      <xdr:nvSpPr>
        <xdr:cNvPr id="23" name="Line 23"/>
        <xdr:cNvSpPr>
          <a:spLocks/>
        </xdr:cNvSpPr>
      </xdr:nvSpPr>
      <xdr:spPr>
        <a:xfrm flipH="1" flipV="1">
          <a:off x="7781925" y="148304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82</xdr:row>
      <xdr:rowOff>28575</xdr:rowOff>
    </xdr:from>
    <xdr:to>
      <xdr:col>15</xdr:col>
      <xdr:colOff>0</xdr:colOff>
      <xdr:row>83</xdr:row>
      <xdr:rowOff>171450</xdr:rowOff>
    </xdr:to>
    <xdr:sp>
      <xdr:nvSpPr>
        <xdr:cNvPr id="24" name="Line 24"/>
        <xdr:cNvSpPr>
          <a:spLocks/>
        </xdr:cNvSpPr>
      </xdr:nvSpPr>
      <xdr:spPr>
        <a:xfrm flipH="1" flipV="1">
          <a:off x="7781925" y="149923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38100</xdr:rowOff>
    </xdr:from>
    <xdr:to>
      <xdr:col>15</xdr:col>
      <xdr:colOff>0</xdr:colOff>
      <xdr:row>6</xdr:row>
      <xdr:rowOff>180975</xdr:rowOff>
    </xdr:to>
    <xdr:sp>
      <xdr:nvSpPr>
        <xdr:cNvPr id="25" name="Line 25"/>
        <xdr:cNvSpPr>
          <a:spLocks/>
        </xdr:cNvSpPr>
      </xdr:nvSpPr>
      <xdr:spPr>
        <a:xfrm flipH="1" flipV="1">
          <a:off x="7781925" y="10572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28575</xdr:rowOff>
    </xdr:from>
    <xdr:to>
      <xdr:col>15</xdr:col>
      <xdr:colOff>0</xdr:colOff>
      <xdr:row>7</xdr:row>
      <xdr:rowOff>180975</xdr:rowOff>
    </xdr:to>
    <xdr:sp>
      <xdr:nvSpPr>
        <xdr:cNvPr id="26" name="Line 26"/>
        <xdr:cNvSpPr>
          <a:spLocks/>
        </xdr:cNvSpPr>
      </xdr:nvSpPr>
      <xdr:spPr>
        <a:xfrm flipH="1" flipV="1">
          <a:off x="7781925" y="12287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38100</xdr:rowOff>
    </xdr:from>
    <xdr:to>
      <xdr:col>15</xdr:col>
      <xdr:colOff>0</xdr:colOff>
      <xdr:row>42</xdr:row>
      <xdr:rowOff>180975</xdr:rowOff>
    </xdr:to>
    <xdr:sp>
      <xdr:nvSpPr>
        <xdr:cNvPr id="27" name="Line 27"/>
        <xdr:cNvSpPr>
          <a:spLocks/>
        </xdr:cNvSpPr>
      </xdr:nvSpPr>
      <xdr:spPr>
        <a:xfrm flipH="1" flipV="1">
          <a:off x="7781925" y="75533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28575</xdr:rowOff>
    </xdr:from>
    <xdr:to>
      <xdr:col>15</xdr:col>
      <xdr:colOff>0</xdr:colOff>
      <xdr:row>43</xdr:row>
      <xdr:rowOff>180975</xdr:rowOff>
    </xdr:to>
    <xdr:sp>
      <xdr:nvSpPr>
        <xdr:cNvPr id="28" name="Line 28"/>
        <xdr:cNvSpPr>
          <a:spLocks/>
        </xdr:cNvSpPr>
      </xdr:nvSpPr>
      <xdr:spPr>
        <a:xfrm flipH="1" flipV="1">
          <a:off x="7781925" y="77247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38100</xdr:rowOff>
    </xdr:from>
    <xdr:to>
      <xdr:col>15</xdr:col>
      <xdr:colOff>0</xdr:colOff>
      <xdr:row>82</xdr:row>
      <xdr:rowOff>171450</xdr:rowOff>
    </xdr:to>
    <xdr:sp>
      <xdr:nvSpPr>
        <xdr:cNvPr id="29" name="Line 29"/>
        <xdr:cNvSpPr>
          <a:spLocks/>
        </xdr:cNvSpPr>
      </xdr:nvSpPr>
      <xdr:spPr>
        <a:xfrm flipH="1" flipV="1">
          <a:off x="7781925" y="148304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82</xdr:row>
      <xdr:rowOff>28575</xdr:rowOff>
    </xdr:from>
    <xdr:to>
      <xdr:col>15</xdr:col>
      <xdr:colOff>0</xdr:colOff>
      <xdr:row>83</xdr:row>
      <xdr:rowOff>171450</xdr:rowOff>
    </xdr:to>
    <xdr:sp>
      <xdr:nvSpPr>
        <xdr:cNvPr id="30" name="Line 30"/>
        <xdr:cNvSpPr>
          <a:spLocks/>
        </xdr:cNvSpPr>
      </xdr:nvSpPr>
      <xdr:spPr>
        <a:xfrm flipH="1" flipV="1">
          <a:off x="7781925" y="149923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38100</xdr:rowOff>
    </xdr:from>
    <xdr:to>
      <xdr:col>15</xdr:col>
      <xdr:colOff>0</xdr:colOff>
      <xdr:row>42</xdr:row>
      <xdr:rowOff>180975</xdr:rowOff>
    </xdr:to>
    <xdr:sp>
      <xdr:nvSpPr>
        <xdr:cNvPr id="31" name="Line 31"/>
        <xdr:cNvSpPr>
          <a:spLocks/>
        </xdr:cNvSpPr>
      </xdr:nvSpPr>
      <xdr:spPr>
        <a:xfrm flipH="1" flipV="1">
          <a:off x="7781925" y="75533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28575</xdr:rowOff>
    </xdr:from>
    <xdr:to>
      <xdr:col>15</xdr:col>
      <xdr:colOff>0</xdr:colOff>
      <xdr:row>43</xdr:row>
      <xdr:rowOff>180975</xdr:rowOff>
    </xdr:to>
    <xdr:sp>
      <xdr:nvSpPr>
        <xdr:cNvPr id="32" name="Line 32"/>
        <xdr:cNvSpPr>
          <a:spLocks/>
        </xdr:cNvSpPr>
      </xdr:nvSpPr>
      <xdr:spPr>
        <a:xfrm flipH="1" flipV="1">
          <a:off x="7781925" y="77247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38100</xdr:rowOff>
    </xdr:from>
    <xdr:to>
      <xdr:col>15</xdr:col>
      <xdr:colOff>0</xdr:colOff>
      <xdr:row>82</xdr:row>
      <xdr:rowOff>171450</xdr:rowOff>
    </xdr:to>
    <xdr:sp>
      <xdr:nvSpPr>
        <xdr:cNvPr id="33" name="Line 33"/>
        <xdr:cNvSpPr>
          <a:spLocks/>
        </xdr:cNvSpPr>
      </xdr:nvSpPr>
      <xdr:spPr>
        <a:xfrm flipH="1" flipV="1">
          <a:off x="7781925" y="148304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82</xdr:row>
      <xdr:rowOff>28575</xdr:rowOff>
    </xdr:from>
    <xdr:to>
      <xdr:col>15</xdr:col>
      <xdr:colOff>0</xdr:colOff>
      <xdr:row>83</xdr:row>
      <xdr:rowOff>171450</xdr:rowOff>
    </xdr:to>
    <xdr:sp>
      <xdr:nvSpPr>
        <xdr:cNvPr id="34" name="Line 34"/>
        <xdr:cNvSpPr>
          <a:spLocks/>
        </xdr:cNvSpPr>
      </xdr:nvSpPr>
      <xdr:spPr>
        <a:xfrm flipH="1" flipV="1">
          <a:off x="7781925" y="149923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38100</xdr:rowOff>
    </xdr:from>
    <xdr:to>
      <xdr:col>15</xdr:col>
      <xdr:colOff>0</xdr:colOff>
      <xdr:row>82</xdr:row>
      <xdr:rowOff>171450</xdr:rowOff>
    </xdr:to>
    <xdr:sp>
      <xdr:nvSpPr>
        <xdr:cNvPr id="35" name="Line 35"/>
        <xdr:cNvSpPr>
          <a:spLocks/>
        </xdr:cNvSpPr>
      </xdr:nvSpPr>
      <xdr:spPr>
        <a:xfrm flipH="1" flipV="1">
          <a:off x="7781925" y="148304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82</xdr:row>
      <xdr:rowOff>28575</xdr:rowOff>
    </xdr:from>
    <xdr:to>
      <xdr:col>15</xdr:col>
      <xdr:colOff>0</xdr:colOff>
      <xdr:row>83</xdr:row>
      <xdr:rowOff>171450</xdr:rowOff>
    </xdr:to>
    <xdr:sp>
      <xdr:nvSpPr>
        <xdr:cNvPr id="36" name="Line 36"/>
        <xdr:cNvSpPr>
          <a:spLocks/>
        </xdr:cNvSpPr>
      </xdr:nvSpPr>
      <xdr:spPr>
        <a:xfrm flipH="1" flipV="1">
          <a:off x="7781925" y="149923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41</xdr:row>
      <xdr:rowOff>38100</xdr:rowOff>
    </xdr:from>
    <xdr:to>
      <xdr:col>0</xdr:col>
      <xdr:colOff>828675</xdr:colOff>
      <xdr:row>42</xdr:row>
      <xdr:rowOff>180975</xdr:rowOff>
    </xdr:to>
    <xdr:sp>
      <xdr:nvSpPr>
        <xdr:cNvPr id="37" name="Line 37"/>
        <xdr:cNvSpPr>
          <a:spLocks/>
        </xdr:cNvSpPr>
      </xdr:nvSpPr>
      <xdr:spPr>
        <a:xfrm flipH="1" flipV="1">
          <a:off x="9525" y="755332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42</xdr:row>
      <xdr:rowOff>28575</xdr:rowOff>
    </xdr:from>
    <xdr:to>
      <xdr:col>0</xdr:col>
      <xdr:colOff>828675</xdr:colOff>
      <xdr:row>43</xdr:row>
      <xdr:rowOff>180975</xdr:rowOff>
    </xdr:to>
    <xdr:sp>
      <xdr:nvSpPr>
        <xdr:cNvPr id="38" name="Line 38"/>
        <xdr:cNvSpPr>
          <a:spLocks/>
        </xdr:cNvSpPr>
      </xdr:nvSpPr>
      <xdr:spPr>
        <a:xfrm flipH="1" flipV="1">
          <a:off x="19050" y="772477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38100</xdr:rowOff>
    </xdr:from>
    <xdr:to>
      <xdr:col>15</xdr:col>
      <xdr:colOff>0</xdr:colOff>
      <xdr:row>42</xdr:row>
      <xdr:rowOff>180975</xdr:rowOff>
    </xdr:to>
    <xdr:sp>
      <xdr:nvSpPr>
        <xdr:cNvPr id="39" name="Line 39"/>
        <xdr:cNvSpPr>
          <a:spLocks/>
        </xdr:cNvSpPr>
      </xdr:nvSpPr>
      <xdr:spPr>
        <a:xfrm flipH="1" flipV="1">
          <a:off x="7781925" y="75533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28575</xdr:rowOff>
    </xdr:from>
    <xdr:to>
      <xdr:col>15</xdr:col>
      <xdr:colOff>0</xdr:colOff>
      <xdr:row>43</xdr:row>
      <xdr:rowOff>180975</xdr:rowOff>
    </xdr:to>
    <xdr:sp>
      <xdr:nvSpPr>
        <xdr:cNvPr id="40" name="Line 40"/>
        <xdr:cNvSpPr>
          <a:spLocks/>
        </xdr:cNvSpPr>
      </xdr:nvSpPr>
      <xdr:spPr>
        <a:xfrm flipH="1" flipV="1">
          <a:off x="7781925" y="77247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38100</xdr:rowOff>
    </xdr:from>
    <xdr:to>
      <xdr:col>15</xdr:col>
      <xdr:colOff>0</xdr:colOff>
      <xdr:row>42</xdr:row>
      <xdr:rowOff>180975</xdr:rowOff>
    </xdr:to>
    <xdr:sp>
      <xdr:nvSpPr>
        <xdr:cNvPr id="41" name="Line 41"/>
        <xdr:cNvSpPr>
          <a:spLocks/>
        </xdr:cNvSpPr>
      </xdr:nvSpPr>
      <xdr:spPr>
        <a:xfrm flipH="1" flipV="1">
          <a:off x="7781925" y="75533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28575</xdr:rowOff>
    </xdr:from>
    <xdr:to>
      <xdr:col>15</xdr:col>
      <xdr:colOff>0</xdr:colOff>
      <xdr:row>43</xdr:row>
      <xdr:rowOff>180975</xdr:rowOff>
    </xdr:to>
    <xdr:sp>
      <xdr:nvSpPr>
        <xdr:cNvPr id="42" name="Line 42"/>
        <xdr:cNvSpPr>
          <a:spLocks/>
        </xdr:cNvSpPr>
      </xdr:nvSpPr>
      <xdr:spPr>
        <a:xfrm flipH="1" flipV="1">
          <a:off x="7781925" y="77247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81</xdr:row>
      <xdr:rowOff>38100</xdr:rowOff>
    </xdr:from>
    <xdr:to>
      <xdr:col>0</xdr:col>
      <xdr:colOff>828675</xdr:colOff>
      <xdr:row>82</xdr:row>
      <xdr:rowOff>171450</xdr:rowOff>
    </xdr:to>
    <xdr:sp>
      <xdr:nvSpPr>
        <xdr:cNvPr id="43" name="Line 43"/>
        <xdr:cNvSpPr>
          <a:spLocks/>
        </xdr:cNvSpPr>
      </xdr:nvSpPr>
      <xdr:spPr>
        <a:xfrm flipH="1" flipV="1">
          <a:off x="9525" y="1483042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82</xdr:row>
      <xdr:rowOff>28575</xdr:rowOff>
    </xdr:from>
    <xdr:to>
      <xdr:col>0</xdr:col>
      <xdr:colOff>828675</xdr:colOff>
      <xdr:row>83</xdr:row>
      <xdr:rowOff>171450</xdr:rowOff>
    </xdr:to>
    <xdr:sp>
      <xdr:nvSpPr>
        <xdr:cNvPr id="44" name="Line 44"/>
        <xdr:cNvSpPr>
          <a:spLocks/>
        </xdr:cNvSpPr>
      </xdr:nvSpPr>
      <xdr:spPr>
        <a:xfrm flipH="1" flipV="1">
          <a:off x="19050" y="1499235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38100</xdr:rowOff>
    </xdr:from>
    <xdr:to>
      <xdr:col>15</xdr:col>
      <xdr:colOff>0</xdr:colOff>
      <xdr:row>82</xdr:row>
      <xdr:rowOff>171450</xdr:rowOff>
    </xdr:to>
    <xdr:sp>
      <xdr:nvSpPr>
        <xdr:cNvPr id="45" name="Line 45"/>
        <xdr:cNvSpPr>
          <a:spLocks/>
        </xdr:cNvSpPr>
      </xdr:nvSpPr>
      <xdr:spPr>
        <a:xfrm flipH="1" flipV="1">
          <a:off x="7781925" y="148304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82</xdr:row>
      <xdr:rowOff>28575</xdr:rowOff>
    </xdr:from>
    <xdr:to>
      <xdr:col>15</xdr:col>
      <xdr:colOff>0</xdr:colOff>
      <xdr:row>83</xdr:row>
      <xdr:rowOff>171450</xdr:rowOff>
    </xdr:to>
    <xdr:sp>
      <xdr:nvSpPr>
        <xdr:cNvPr id="46" name="Line 46"/>
        <xdr:cNvSpPr>
          <a:spLocks/>
        </xdr:cNvSpPr>
      </xdr:nvSpPr>
      <xdr:spPr>
        <a:xfrm flipH="1" flipV="1">
          <a:off x="7781925" y="149923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38100</xdr:rowOff>
    </xdr:from>
    <xdr:to>
      <xdr:col>15</xdr:col>
      <xdr:colOff>0</xdr:colOff>
      <xdr:row>82</xdr:row>
      <xdr:rowOff>171450</xdr:rowOff>
    </xdr:to>
    <xdr:sp>
      <xdr:nvSpPr>
        <xdr:cNvPr id="47" name="Line 47"/>
        <xdr:cNvSpPr>
          <a:spLocks/>
        </xdr:cNvSpPr>
      </xdr:nvSpPr>
      <xdr:spPr>
        <a:xfrm flipH="1" flipV="1">
          <a:off x="7781925" y="148304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82</xdr:row>
      <xdr:rowOff>28575</xdr:rowOff>
    </xdr:from>
    <xdr:to>
      <xdr:col>15</xdr:col>
      <xdr:colOff>0</xdr:colOff>
      <xdr:row>83</xdr:row>
      <xdr:rowOff>171450</xdr:rowOff>
    </xdr:to>
    <xdr:sp>
      <xdr:nvSpPr>
        <xdr:cNvPr id="48" name="Line 48"/>
        <xdr:cNvSpPr>
          <a:spLocks/>
        </xdr:cNvSpPr>
      </xdr:nvSpPr>
      <xdr:spPr>
        <a:xfrm flipH="1" flipV="1">
          <a:off x="7781925" y="149923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38100</xdr:rowOff>
    </xdr:from>
    <xdr:to>
      <xdr:col>1</xdr:col>
      <xdr:colOff>0</xdr:colOff>
      <xdr:row>5</xdr:row>
      <xdr:rowOff>180975</xdr:rowOff>
    </xdr:to>
    <xdr:sp>
      <xdr:nvSpPr>
        <xdr:cNvPr id="1" name="Line 1"/>
        <xdr:cNvSpPr>
          <a:spLocks/>
        </xdr:cNvSpPr>
      </xdr:nvSpPr>
      <xdr:spPr>
        <a:xfrm flipH="1" flipV="1">
          <a:off x="9525" y="876300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5</xdr:row>
      <xdr:rowOff>28575</xdr:rowOff>
    </xdr:from>
    <xdr:to>
      <xdr:col>0</xdr:col>
      <xdr:colOff>828675</xdr:colOff>
      <xdr:row>6</xdr:row>
      <xdr:rowOff>180975</xdr:rowOff>
    </xdr:to>
    <xdr:sp>
      <xdr:nvSpPr>
        <xdr:cNvPr id="2" name="Line 2"/>
        <xdr:cNvSpPr>
          <a:spLocks/>
        </xdr:cNvSpPr>
      </xdr:nvSpPr>
      <xdr:spPr>
        <a:xfrm flipH="1" flipV="1">
          <a:off x="19050" y="1047750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828675</xdr:colOff>
      <xdr:row>41</xdr:row>
      <xdr:rowOff>180975</xdr:rowOff>
    </xdr:to>
    <xdr:sp>
      <xdr:nvSpPr>
        <xdr:cNvPr id="3" name="Line 3"/>
        <xdr:cNvSpPr>
          <a:spLocks/>
        </xdr:cNvSpPr>
      </xdr:nvSpPr>
      <xdr:spPr>
        <a:xfrm flipH="1" flipV="1">
          <a:off x="9525" y="7372350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828675</xdr:colOff>
      <xdr:row>42</xdr:row>
      <xdr:rowOff>180975</xdr:rowOff>
    </xdr:to>
    <xdr:sp>
      <xdr:nvSpPr>
        <xdr:cNvPr id="4" name="Line 4"/>
        <xdr:cNvSpPr>
          <a:spLocks/>
        </xdr:cNvSpPr>
      </xdr:nvSpPr>
      <xdr:spPr>
        <a:xfrm flipH="1" flipV="1">
          <a:off x="19050" y="7543800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5" name="Line 5"/>
        <xdr:cNvSpPr>
          <a:spLocks/>
        </xdr:cNvSpPr>
      </xdr:nvSpPr>
      <xdr:spPr>
        <a:xfrm flipH="1" flipV="1">
          <a:off x="9525" y="1464945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6" name="Line 6"/>
        <xdr:cNvSpPr>
          <a:spLocks/>
        </xdr:cNvSpPr>
      </xdr:nvSpPr>
      <xdr:spPr>
        <a:xfrm flipH="1" flipV="1">
          <a:off x="19050" y="1481137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38100</xdr:rowOff>
    </xdr:from>
    <xdr:to>
      <xdr:col>15</xdr:col>
      <xdr:colOff>0</xdr:colOff>
      <xdr:row>5</xdr:row>
      <xdr:rowOff>180975</xdr:rowOff>
    </xdr:to>
    <xdr:sp>
      <xdr:nvSpPr>
        <xdr:cNvPr id="7" name="Line 7"/>
        <xdr:cNvSpPr>
          <a:spLocks/>
        </xdr:cNvSpPr>
      </xdr:nvSpPr>
      <xdr:spPr>
        <a:xfrm flipH="1" flipV="1">
          <a:off x="7781925" y="8763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28575</xdr:rowOff>
    </xdr:from>
    <xdr:to>
      <xdr:col>15</xdr:col>
      <xdr:colOff>0</xdr:colOff>
      <xdr:row>6</xdr:row>
      <xdr:rowOff>180975</xdr:rowOff>
    </xdr:to>
    <xdr:sp>
      <xdr:nvSpPr>
        <xdr:cNvPr id="8" name="Line 8"/>
        <xdr:cNvSpPr>
          <a:spLocks/>
        </xdr:cNvSpPr>
      </xdr:nvSpPr>
      <xdr:spPr>
        <a:xfrm flipH="1" flipV="1">
          <a:off x="7781925" y="10477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9" name="Line 9"/>
        <xdr:cNvSpPr>
          <a:spLocks/>
        </xdr:cNvSpPr>
      </xdr:nvSpPr>
      <xdr:spPr>
        <a:xfrm flipH="1" flipV="1">
          <a:off x="7781925" y="73723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10" name="Line 10"/>
        <xdr:cNvSpPr>
          <a:spLocks/>
        </xdr:cNvSpPr>
      </xdr:nvSpPr>
      <xdr:spPr>
        <a:xfrm flipH="1" flipV="1">
          <a:off x="7781925" y="75438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11" name="Line 11"/>
        <xdr:cNvSpPr>
          <a:spLocks/>
        </xdr:cNvSpPr>
      </xdr:nvSpPr>
      <xdr:spPr>
        <a:xfrm flipH="1" flipV="1">
          <a:off x="7781925" y="146494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12" name="Line 12"/>
        <xdr:cNvSpPr>
          <a:spLocks/>
        </xdr:cNvSpPr>
      </xdr:nvSpPr>
      <xdr:spPr>
        <a:xfrm flipH="1" flipV="1">
          <a:off x="7781925" y="148113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828675</xdr:colOff>
      <xdr:row>41</xdr:row>
      <xdr:rowOff>180975</xdr:rowOff>
    </xdr:to>
    <xdr:sp>
      <xdr:nvSpPr>
        <xdr:cNvPr id="13" name="Line 13"/>
        <xdr:cNvSpPr>
          <a:spLocks/>
        </xdr:cNvSpPr>
      </xdr:nvSpPr>
      <xdr:spPr>
        <a:xfrm flipH="1" flipV="1">
          <a:off x="9525" y="7372350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828675</xdr:colOff>
      <xdr:row>42</xdr:row>
      <xdr:rowOff>180975</xdr:rowOff>
    </xdr:to>
    <xdr:sp>
      <xdr:nvSpPr>
        <xdr:cNvPr id="14" name="Line 14"/>
        <xdr:cNvSpPr>
          <a:spLocks/>
        </xdr:cNvSpPr>
      </xdr:nvSpPr>
      <xdr:spPr>
        <a:xfrm flipH="1" flipV="1">
          <a:off x="19050" y="7543800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15" name="Line 15"/>
        <xdr:cNvSpPr>
          <a:spLocks/>
        </xdr:cNvSpPr>
      </xdr:nvSpPr>
      <xdr:spPr>
        <a:xfrm flipH="1" flipV="1">
          <a:off x="7781925" y="73723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16" name="Line 16"/>
        <xdr:cNvSpPr>
          <a:spLocks/>
        </xdr:cNvSpPr>
      </xdr:nvSpPr>
      <xdr:spPr>
        <a:xfrm flipH="1" flipV="1">
          <a:off x="7781925" y="75438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17" name="Line 17"/>
        <xdr:cNvSpPr>
          <a:spLocks/>
        </xdr:cNvSpPr>
      </xdr:nvSpPr>
      <xdr:spPr>
        <a:xfrm flipH="1" flipV="1">
          <a:off x="9525" y="1464945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18" name="Line 18"/>
        <xdr:cNvSpPr>
          <a:spLocks/>
        </xdr:cNvSpPr>
      </xdr:nvSpPr>
      <xdr:spPr>
        <a:xfrm flipH="1" flipV="1">
          <a:off x="19050" y="1481137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19" name="Line 19"/>
        <xdr:cNvSpPr>
          <a:spLocks/>
        </xdr:cNvSpPr>
      </xdr:nvSpPr>
      <xdr:spPr>
        <a:xfrm flipH="1" flipV="1">
          <a:off x="7781925" y="146494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20" name="Line 20"/>
        <xdr:cNvSpPr>
          <a:spLocks/>
        </xdr:cNvSpPr>
      </xdr:nvSpPr>
      <xdr:spPr>
        <a:xfrm flipH="1" flipV="1">
          <a:off x="7781925" y="148113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21" name="Line 21"/>
        <xdr:cNvSpPr>
          <a:spLocks/>
        </xdr:cNvSpPr>
      </xdr:nvSpPr>
      <xdr:spPr>
        <a:xfrm flipH="1" flipV="1">
          <a:off x="9525" y="1464945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22" name="Line 22"/>
        <xdr:cNvSpPr>
          <a:spLocks/>
        </xdr:cNvSpPr>
      </xdr:nvSpPr>
      <xdr:spPr>
        <a:xfrm flipH="1" flipV="1">
          <a:off x="19050" y="1481137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23" name="Line 23"/>
        <xdr:cNvSpPr>
          <a:spLocks/>
        </xdr:cNvSpPr>
      </xdr:nvSpPr>
      <xdr:spPr>
        <a:xfrm flipH="1" flipV="1">
          <a:off x="7781925" y="146494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24" name="Line 24"/>
        <xdr:cNvSpPr>
          <a:spLocks/>
        </xdr:cNvSpPr>
      </xdr:nvSpPr>
      <xdr:spPr>
        <a:xfrm flipH="1" flipV="1">
          <a:off x="7781925" y="148113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38100</xdr:rowOff>
    </xdr:from>
    <xdr:to>
      <xdr:col>15</xdr:col>
      <xdr:colOff>0</xdr:colOff>
      <xdr:row>5</xdr:row>
      <xdr:rowOff>180975</xdr:rowOff>
    </xdr:to>
    <xdr:sp>
      <xdr:nvSpPr>
        <xdr:cNvPr id="25" name="Line 25"/>
        <xdr:cNvSpPr>
          <a:spLocks/>
        </xdr:cNvSpPr>
      </xdr:nvSpPr>
      <xdr:spPr>
        <a:xfrm flipH="1" flipV="1">
          <a:off x="7781925" y="8763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28575</xdr:rowOff>
    </xdr:from>
    <xdr:to>
      <xdr:col>15</xdr:col>
      <xdr:colOff>0</xdr:colOff>
      <xdr:row>6</xdr:row>
      <xdr:rowOff>180975</xdr:rowOff>
    </xdr:to>
    <xdr:sp>
      <xdr:nvSpPr>
        <xdr:cNvPr id="26" name="Line 26"/>
        <xdr:cNvSpPr>
          <a:spLocks/>
        </xdr:cNvSpPr>
      </xdr:nvSpPr>
      <xdr:spPr>
        <a:xfrm flipH="1" flipV="1">
          <a:off x="7781925" y="10477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27" name="Line 27"/>
        <xdr:cNvSpPr>
          <a:spLocks/>
        </xdr:cNvSpPr>
      </xdr:nvSpPr>
      <xdr:spPr>
        <a:xfrm flipH="1" flipV="1">
          <a:off x="7781925" y="73723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28" name="Line 28"/>
        <xdr:cNvSpPr>
          <a:spLocks/>
        </xdr:cNvSpPr>
      </xdr:nvSpPr>
      <xdr:spPr>
        <a:xfrm flipH="1" flipV="1">
          <a:off x="7781925" y="75438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29" name="Line 29"/>
        <xdr:cNvSpPr>
          <a:spLocks/>
        </xdr:cNvSpPr>
      </xdr:nvSpPr>
      <xdr:spPr>
        <a:xfrm flipH="1" flipV="1">
          <a:off x="7781925" y="146494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30" name="Line 30"/>
        <xdr:cNvSpPr>
          <a:spLocks/>
        </xdr:cNvSpPr>
      </xdr:nvSpPr>
      <xdr:spPr>
        <a:xfrm flipH="1" flipV="1">
          <a:off x="7781925" y="148113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31" name="Line 31"/>
        <xdr:cNvSpPr>
          <a:spLocks/>
        </xdr:cNvSpPr>
      </xdr:nvSpPr>
      <xdr:spPr>
        <a:xfrm flipH="1" flipV="1">
          <a:off x="7781925" y="73723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32" name="Line 32"/>
        <xdr:cNvSpPr>
          <a:spLocks/>
        </xdr:cNvSpPr>
      </xdr:nvSpPr>
      <xdr:spPr>
        <a:xfrm flipH="1" flipV="1">
          <a:off x="7781925" y="75438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33" name="Line 33"/>
        <xdr:cNvSpPr>
          <a:spLocks/>
        </xdr:cNvSpPr>
      </xdr:nvSpPr>
      <xdr:spPr>
        <a:xfrm flipH="1" flipV="1">
          <a:off x="7781925" y="146494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34" name="Line 34"/>
        <xdr:cNvSpPr>
          <a:spLocks/>
        </xdr:cNvSpPr>
      </xdr:nvSpPr>
      <xdr:spPr>
        <a:xfrm flipH="1" flipV="1">
          <a:off x="7781925" y="148113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35" name="Line 35"/>
        <xdr:cNvSpPr>
          <a:spLocks/>
        </xdr:cNvSpPr>
      </xdr:nvSpPr>
      <xdr:spPr>
        <a:xfrm flipH="1" flipV="1">
          <a:off x="7781925" y="146494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36" name="Line 36"/>
        <xdr:cNvSpPr>
          <a:spLocks/>
        </xdr:cNvSpPr>
      </xdr:nvSpPr>
      <xdr:spPr>
        <a:xfrm flipH="1" flipV="1">
          <a:off x="7781925" y="148113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828675</xdr:colOff>
      <xdr:row>41</xdr:row>
      <xdr:rowOff>180975</xdr:rowOff>
    </xdr:to>
    <xdr:sp>
      <xdr:nvSpPr>
        <xdr:cNvPr id="37" name="Line 37"/>
        <xdr:cNvSpPr>
          <a:spLocks/>
        </xdr:cNvSpPr>
      </xdr:nvSpPr>
      <xdr:spPr>
        <a:xfrm flipH="1" flipV="1">
          <a:off x="9525" y="7372350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828675</xdr:colOff>
      <xdr:row>42</xdr:row>
      <xdr:rowOff>180975</xdr:rowOff>
    </xdr:to>
    <xdr:sp>
      <xdr:nvSpPr>
        <xdr:cNvPr id="38" name="Line 38"/>
        <xdr:cNvSpPr>
          <a:spLocks/>
        </xdr:cNvSpPr>
      </xdr:nvSpPr>
      <xdr:spPr>
        <a:xfrm flipH="1" flipV="1">
          <a:off x="19050" y="7543800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39" name="Line 39"/>
        <xdr:cNvSpPr>
          <a:spLocks/>
        </xdr:cNvSpPr>
      </xdr:nvSpPr>
      <xdr:spPr>
        <a:xfrm flipH="1" flipV="1">
          <a:off x="7781925" y="73723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40" name="Line 40"/>
        <xdr:cNvSpPr>
          <a:spLocks/>
        </xdr:cNvSpPr>
      </xdr:nvSpPr>
      <xdr:spPr>
        <a:xfrm flipH="1" flipV="1">
          <a:off x="7781925" y="75438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41" name="Line 41"/>
        <xdr:cNvSpPr>
          <a:spLocks/>
        </xdr:cNvSpPr>
      </xdr:nvSpPr>
      <xdr:spPr>
        <a:xfrm flipH="1" flipV="1">
          <a:off x="7781925" y="73723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42" name="Line 42"/>
        <xdr:cNvSpPr>
          <a:spLocks/>
        </xdr:cNvSpPr>
      </xdr:nvSpPr>
      <xdr:spPr>
        <a:xfrm flipH="1" flipV="1">
          <a:off x="7781925" y="75438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43" name="Line 43"/>
        <xdr:cNvSpPr>
          <a:spLocks/>
        </xdr:cNvSpPr>
      </xdr:nvSpPr>
      <xdr:spPr>
        <a:xfrm flipH="1" flipV="1">
          <a:off x="9525" y="1464945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44" name="Line 44"/>
        <xdr:cNvSpPr>
          <a:spLocks/>
        </xdr:cNvSpPr>
      </xdr:nvSpPr>
      <xdr:spPr>
        <a:xfrm flipH="1" flipV="1">
          <a:off x="19050" y="1481137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45" name="Line 45"/>
        <xdr:cNvSpPr>
          <a:spLocks/>
        </xdr:cNvSpPr>
      </xdr:nvSpPr>
      <xdr:spPr>
        <a:xfrm flipH="1" flipV="1">
          <a:off x="7781925" y="146494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46" name="Line 46"/>
        <xdr:cNvSpPr>
          <a:spLocks/>
        </xdr:cNvSpPr>
      </xdr:nvSpPr>
      <xdr:spPr>
        <a:xfrm flipH="1" flipV="1">
          <a:off x="7781925" y="148113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47" name="Line 47"/>
        <xdr:cNvSpPr>
          <a:spLocks/>
        </xdr:cNvSpPr>
      </xdr:nvSpPr>
      <xdr:spPr>
        <a:xfrm flipH="1" flipV="1">
          <a:off x="7781925" y="146494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48" name="Line 48"/>
        <xdr:cNvSpPr>
          <a:spLocks/>
        </xdr:cNvSpPr>
      </xdr:nvSpPr>
      <xdr:spPr>
        <a:xfrm flipH="1" flipV="1">
          <a:off x="7781925" y="148113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38"/>
  <sheetViews>
    <sheetView view="pageBreakPreview" zoomScaleSheetLayoutView="100" workbookViewId="0" topLeftCell="A28">
      <selection activeCell="A58" sqref="A58"/>
    </sheetView>
  </sheetViews>
  <sheetFormatPr defaultColWidth="9.140625" defaultRowHeight="16.5" customHeight="1"/>
  <cols>
    <col min="1" max="1" width="65.28125" style="208" customWidth="1"/>
    <col min="2" max="2" width="6.57421875" style="221" customWidth="1"/>
    <col min="3" max="3" width="13.28125" style="19" customWidth="1"/>
    <col min="4" max="4" width="14.28125" style="15" customWidth="1"/>
    <col min="5" max="5" width="10.8515625" style="208" bestFit="1" customWidth="1"/>
    <col min="6" max="6" width="11.140625" style="208" bestFit="1" customWidth="1"/>
    <col min="7" max="16384" width="9.140625" style="208" customWidth="1"/>
  </cols>
  <sheetData>
    <row r="1" spans="1:4" ht="16.5" customHeight="1">
      <c r="A1" s="275" t="s">
        <v>0</v>
      </c>
      <c r="B1" s="275"/>
      <c r="C1" s="275"/>
      <c r="D1" s="275"/>
    </row>
    <row r="2" spans="1:4" ht="16.5" customHeight="1">
      <c r="A2" s="275" t="s">
        <v>1</v>
      </c>
      <c r="B2" s="275"/>
      <c r="C2" s="275"/>
      <c r="D2" s="275"/>
    </row>
    <row r="3" spans="1:4" ht="16.5" customHeight="1">
      <c r="A3" s="275" t="s">
        <v>476</v>
      </c>
      <c r="B3" s="275"/>
      <c r="C3" s="275"/>
      <c r="D3" s="275"/>
    </row>
    <row r="4" spans="1:4" s="211" customFormat="1" ht="16.5" customHeight="1">
      <c r="A4" s="209" t="s">
        <v>2</v>
      </c>
      <c r="B4" s="210" t="s">
        <v>3</v>
      </c>
      <c r="C4" s="80" t="s">
        <v>4</v>
      </c>
      <c r="D4" s="7" t="s">
        <v>5</v>
      </c>
    </row>
    <row r="5" spans="1:4" s="211" customFormat="1" ht="16.5" customHeight="1">
      <c r="A5" s="212" t="s">
        <v>98</v>
      </c>
      <c r="B5" s="213" t="s">
        <v>415</v>
      </c>
      <c r="C5" s="142">
        <v>3181</v>
      </c>
      <c r="D5" s="140"/>
    </row>
    <row r="6" spans="1:4" s="211" customFormat="1" ht="16.5" customHeight="1">
      <c r="A6" s="214" t="s">
        <v>416</v>
      </c>
      <c r="B6" s="215" t="s">
        <v>417</v>
      </c>
      <c r="C6" s="83">
        <v>4131036.77</v>
      </c>
      <c r="D6" s="140"/>
    </row>
    <row r="7" spans="1:4" ht="16.5" customHeight="1">
      <c r="A7" s="214" t="s">
        <v>75</v>
      </c>
      <c r="B7" s="215" t="s">
        <v>417</v>
      </c>
      <c r="C7" s="83">
        <v>22935337.2</v>
      </c>
      <c r="D7" s="140"/>
    </row>
    <row r="8" spans="1:4" ht="16.5" customHeight="1">
      <c r="A8" s="214" t="s">
        <v>77</v>
      </c>
      <c r="B8" s="215" t="s">
        <v>417</v>
      </c>
      <c r="C8" s="83">
        <v>82816.52</v>
      </c>
      <c r="D8" s="82"/>
    </row>
    <row r="9" spans="1:4" ht="16.5" customHeight="1">
      <c r="A9" s="214" t="s">
        <v>76</v>
      </c>
      <c r="B9" s="215" t="s">
        <v>417</v>
      </c>
      <c r="C9" s="83">
        <v>1267.18</v>
      </c>
      <c r="D9" s="82"/>
    </row>
    <row r="10" spans="1:4" ht="16.5" customHeight="1">
      <c r="A10" s="214" t="s">
        <v>78</v>
      </c>
      <c r="B10" s="215" t="s">
        <v>418</v>
      </c>
      <c r="C10" s="83">
        <v>9943766.51</v>
      </c>
      <c r="D10" s="82"/>
    </row>
    <row r="11" spans="1:4" ht="16.5" customHeight="1">
      <c r="A11" s="214" t="s">
        <v>32</v>
      </c>
      <c r="B11" s="215" t="s">
        <v>296</v>
      </c>
      <c r="C11" s="83">
        <v>379983</v>
      </c>
      <c r="D11" s="82"/>
    </row>
    <row r="12" spans="1:4" ht="16.5" customHeight="1">
      <c r="A12" s="214" t="s">
        <v>376</v>
      </c>
      <c r="B12" s="215" t="s">
        <v>302</v>
      </c>
      <c r="C12" s="83">
        <v>972240</v>
      </c>
      <c r="D12" s="82"/>
    </row>
    <row r="13" spans="1:4" ht="16.5" customHeight="1">
      <c r="A13" s="214" t="s">
        <v>377</v>
      </c>
      <c r="B13" s="215" t="s">
        <v>309</v>
      </c>
      <c r="C13" s="83">
        <v>1174364</v>
      </c>
      <c r="D13" s="82"/>
    </row>
    <row r="14" spans="1:4" ht="16.5" customHeight="1">
      <c r="A14" s="214" t="s">
        <v>378</v>
      </c>
      <c r="B14" s="215" t="s">
        <v>309</v>
      </c>
      <c r="C14" s="83">
        <v>47120</v>
      </c>
      <c r="D14" s="82"/>
    </row>
    <row r="15" spans="1:4" ht="16.5" customHeight="1">
      <c r="A15" s="214" t="s">
        <v>379</v>
      </c>
      <c r="B15" s="215" t="s">
        <v>309</v>
      </c>
      <c r="C15" s="83">
        <v>369040</v>
      </c>
      <c r="D15" s="82"/>
    </row>
    <row r="16" spans="1:4" ht="16.5" customHeight="1">
      <c r="A16" s="214" t="s">
        <v>6</v>
      </c>
      <c r="B16" s="215" t="s">
        <v>318</v>
      </c>
      <c r="C16" s="83">
        <v>119989</v>
      </c>
      <c r="D16" s="82"/>
    </row>
    <row r="17" spans="1:4" ht="16.5" customHeight="1">
      <c r="A17" s="214" t="s">
        <v>7</v>
      </c>
      <c r="B17" s="215" t="s">
        <v>324</v>
      </c>
      <c r="C17" s="83">
        <v>663150.24</v>
      </c>
      <c r="D17" s="82"/>
    </row>
    <row r="18" spans="1:4" ht="16.5" customHeight="1">
      <c r="A18" s="214" t="s">
        <v>8</v>
      </c>
      <c r="B18" s="215" t="s">
        <v>329</v>
      </c>
      <c r="C18" s="83">
        <v>317045.78</v>
      </c>
      <c r="D18" s="82"/>
    </row>
    <row r="19" spans="1:4" ht="16.5" customHeight="1">
      <c r="A19" s="214" t="s">
        <v>9</v>
      </c>
      <c r="B19" s="215" t="s">
        <v>342</v>
      </c>
      <c r="C19" s="83">
        <v>73600.31</v>
      </c>
      <c r="D19" s="82"/>
    </row>
    <row r="20" spans="1:4" ht="16.5" customHeight="1">
      <c r="A20" s="214" t="s">
        <v>55</v>
      </c>
      <c r="B20" s="215" t="s">
        <v>348</v>
      </c>
      <c r="C20" s="83">
        <v>19000</v>
      </c>
      <c r="D20" s="82"/>
    </row>
    <row r="21" spans="1:4" ht="16.5" customHeight="1">
      <c r="A21" s="214" t="s">
        <v>33</v>
      </c>
      <c r="B21" s="215" t="s">
        <v>361</v>
      </c>
      <c r="C21" s="83">
        <v>1067000</v>
      </c>
      <c r="D21" s="82"/>
    </row>
    <row r="22" spans="1:4" ht="16.5" customHeight="1">
      <c r="A22" s="212" t="s">
        <v>380</v>
      </c>
      <c r="B22" s="215" t="s">
        <v>419</v>
      </c>
      <c r="C22" s="83">
        <v>1500</v>
      </c>
      <c r="D22" s="82"/>
    </row>
    <row r="23" spans="1:4" ht="16.5" customHeight="1">
      <c r="A23" s="214" t="s">
        <v>381</v>
      </c>
      <c r="B23" s="215" t="s">
        <v>420</v>
      </c>
      <c r="C23" s="83">
        <v>1946.43</v>
      </c>
      <c r="D23" s="82"/>
    </row>
    <row r="24" spans="1:4" ht="16.5" customHeight="1">
      <c r="A24" s="212" t="s">
        <v>425</v>
      </c>
      <c r="B24" s="215" t="s">
        <v>393</v>
      </c>
      <c r="C24" s="83">
        <v>1046560</v>
      </c>
      <c r="D24" s="82"/>
    </row>
    <row r="25" spans="1:4" ht="16.5" customHeight="1">
      <c r="A25" s="212" t="s">
        <v>37</v>
      </c>
      <c r="B25" s="215" t="s">
        <v>392</v>
      </c>
      <c r="C25" s="83">
        <v>7600</v>
      </c>
      <c r="D25" s="82"/>
    </row>
    <row r="26" spans="1:4" ht="16.5" customHeight="1">
      <c r="A26" s="212" t="s">
        <v>127</v>
      </c>
      <c r="B26" s="215" t="s">
        <v>396</v>
      </c>
      <c r="C26" s="83">
        <v>0</v>
      </c>
      <c r="D26" s="82"/>
    </row>
    <row r="27" spans="1:4" ht="16.5" customHeight="1">
      <c r="A27" s="212" t="s">
        <v>456</v>
      </c>
      <c r="B27" s="215" t="s">
        <v>458</v>
      </c>
      <c r="C27" s="83">
        <v>2232900</v>
      </c>
      <c r="D27" s="82"/>
    </row>
    <row r="28" spans="1:4" ht="16.5" customHeight="1">
      <c r="A28" s="212" t="s">
        <v>457</v>
      </c>
      <c r="B28" s="215" t="s">
        <v>458</v>
      </c>
      <c r="C28" s="83">
        <v>361500</v>
      </c>
      <c r="D28" s="82"/>
    </row>
    <row r="29" spans="1:4" ht="16.5" customHeight="1">
      <c r="A29" s="212" t="s">
        <v>477</v>
      </c>
      <c r="B29" s="215" t="s">
        <v>478</v>
      </c>
      <c r="C29" s="83">
        <v>72000</v>
      </c>
      <c r="D29" s="82"/>
    </row>
    <row r="30" spans="1:4" ht="16.5" customHeight="1">
      <c r="A30" s="212" t="s">
        <v>479</v>
      </c>
      <c r="B30" s="215" t="s">
        <v>478</v>
      </c>
      <c r="C30" s="83">
        <v>3060</v>
      </c>
      <c r="D30" s="82"/>
    </row>
    <row r="31" spans="1:4" ht="16.5" customHeight="1">
      <c r="A31" s="212" t="s">
        <v>11</v>
      </c>
      <c r="B31" s="215" t="s">
        <v>421</v>
      </c>
      <c r="C31" s="83"/>
      <c r="D31" s="82">
        <v>12154906.67</v>
      </c>
    </row>
    <row r="32" spans="1:4" ht="16.5" customHeight="1">
      <c r="A32" s="214" t="s">
        <v>428</v>
      </c>
      <c r="B32" s="215" t="s">
        <v>427</v>
      </c>
      <c r="C32" s="83"/>
      <c r="D32" s="141">
        <v>1065200</v>
      </c>
    </row>
    <row r="33" spans="1:4" ht="16.5" customHeight="1">
      <c r="A33" s="214" t="s">
        <v>383</v>
      </c>
      <c r="B33" s="215" t="s">
        <v>394</v>
      </c>
      <c r="C33" s="83"/>
      <c r="D33" s="139">
        <v>1475631.32</v>
      </c>
    </row>
    <row r="34" spans="1:4" ht="16.5" customHeight="1">
      <c r="A34" s="214" t="s">
        <v>10</v>
      </c>
      <c r="B34" s="215" t="s">
        <v>422</v>
      </c>
      <c r="C34" s="83"/>
      <c r="D34" s="82">
        <v>15771782.76</v>
      </c>
    </row>
    <row r="35" spans="1:4" ht="16.5" customHeight="1">
      <c r="A35" s="214" t="s">
        <v>139</v>
      </c>
      <c r="B35" s="215" t="s">
        <v>423</v>
      </c>
      <c r="C35" s="83"/>
      <c r="D35" s="82">
        <v>11668823.19</v>
      </c>
    </row>
    <row r="36" spans="1:4" ht="16.5" customHeight="1">
      <c r="A36" s="212" t="s">
        <v>456</v>
      </c>
      <c r="B36" s="215" t="s">
        <v>458</v>
      </c>
      <c r="C36" s="83"/>
      <c r="D36" s="82">
        <v>3360600</v>
      </c>
    </row>
    <row r="37" spans="1:4" ht="16.5" customHeight="1">
      <c r="A37" s="212" t="s">
        <v>457</v>
      </c>
      <c r="B37" s="215" t="s">
        <v>458</v>
      </c>
      <c r="C37" s="83"/>
      <c r="D37" s="82">
        <v>455000</v>
      </c>
    </row>
    <row r="38" spans="1:4" ht="16.5" customHeight="1">
      <c r="A38" s="212" t="s">
        <v>480</v>
      </c>
      <c r="B38" s="215" t="s">
        <v>478</v>
      </c>
      <c r="C38" s="83"/>
      <c r="D38" s="82">
        <v>75060</v>
      </c>
    </row>
    <row r="39" spans="1:4" ht="16.5" customHeight="1">
      <c r="A39" s="214"/>
      <c r="B39" s="215"/>
      <c r="C39" s="83"/>
      <c r="D39" s="82"/>
    </row>
    <row r="40" spans="1:4" ht="16.5" customHeight="1">
      <c r="A40" s="214"/>
      <c r="B40" s="215"/>
      <c r="C40" s="83"/>
      <c r="D40" s="82"/>
    </row>
    <row r="41" spans="1:4" ht="16.5" customHeight="1">
      <c r="A41" s="214"/>
      <c r="B41" s="216"/>
      <c r="C41" s="83"/>
      <c r="D41" s="83"/>
    </row>
    <row r="42" spans="2:5" ht="16.5" customHeight="1">
      <c r="B42" s="217"/>
      <c r="C42" s="13">
        <f>SUM(C5:C41)</f>
        <v>46027003.940000005</v>
      </c>
      <c r="D42" s="14">
        <f>SUM(D31:D41)</f>
        <v>46027003.94</v>
      </c>
      <c r="E42" s="218"/>
    </row>
    <row r="43" spans="2:5" ht="16.5" customHeight="1">
      <c r="B43" s="217"/>
      <c r="C43" s="264"/>
      <c r="E43" s="214"/>
    </row>
    <row r="44" spans="1:4" ht="16.5" customHeight="1">
      <c r="A44" s="277" t="s">
        <v>130</v>
      </c>
      <c r="B44" s="277"/>
      <c r="C44" s="277"/>
      <c r="D44" s="277"/>
    </row>
    <row r="45" spans="1:4" ht="16.5" customHeight="1">
      <c r="A45" s="277" t="s">
        <v>131</v>
      </c>
      <c r="B45" s="277"/>
      <c r="C45" s="277"/>
      <c r="D45" s="277"/>
    </row>
    <row r="46" spans="1:4" ht="16.5" customHeight="1">
      <c r="A46" s="219"/>
      <c r="B46" s="219"/>
      <c r="C46" s="219"/>
      <c r="D46" s="219"/>
    </row>
    <row r="47" spans="1:4" ht="16.5" customHeight="1">
      <c r="A47" s="220" t="s">
        <v>129</v>
      </c>
      <c r="B47" s="219"/>
      <c r="C47" s="17" t="s">
        <v>453</v>
      </c>
      <c r="D47" s="17"/>
    </row>
    <row r="48" spans="1:4" ht="16.5" customHeight="1">
      <c r="A48" s="211" t="s">
        <v>128</v>
      </c>
      <c r="B48" s="211"/>
      <c r="C48" s="8"/>
      <c r="D48" s="8"/>
    </row>
    <row r="49" spans="1:4" ht="16.5" customHeight="1">
      <c r="A49" s="211" t="s">
        <v>15</v>
      </c>
      <c r="B49" s="211"/>
      <c r="C49" s="8"/>
      <c r="D49" s="8"/>
    </row>
    <row r="50" spans="1:4" ht="16.5" customHeight="1">
      <c r="A50" s="207" t="s">
        <v>481</v>
      </c>
      <c r="B50" s="207"/>
      <c r="C50" s="128" t="s">
        <v>452</v>
      </c>
      <c r="D50" s="128"/>
    </row>
    <row r="51" spans="1:4" ht="16.5" customHeight="1">
      <c r="A51" s="207"/>
      <c r="B51" s="207"/>
      <c r="C51" s="128"/>
      <c r="D51" s="128"/>
    </row>
    <row r="52" spans="1:4" ht="16.5" customHeight="1">
      <c r="A52" s="276" t="s">
        <v>482</v>
      </c>
      <c r="B52" s="276"/>
      <c r="C52" s="276"/>
      <c r="D52" s="276"/>
    </row>
    <row r="53" spans="1:4" ht="16.5" customHeight="1">
      <c r="A53" s="276" t="s">
        <v>17</v>
      </c>
      <c r="B53" s="276"/>
      <c r="C53" s="276"/>
      <c r="D53" s="276"/>
    </row>
    <row r="54" spans="1:4" ht="16.5" customHeight="1">
      <c r="A54" s="220" t="s">
        <v>18</v>
      </c>
      <c r="B54" s="211"/>
      <c r="C54" s="8"/>
      <c r="D54" s="88">
        <v>345518</v>
      </c>
    </row>
    <row r="55" spans="1:4" ht="16.5" customHeight="1">
      <c r="A55" s="220" t="s">
        <v>455</v>
      </c>
      <c r="B55" s="211"/>
      <c r="C55" s="8"/>
      <c r="D55" s="88">
        <v>0</v>
      </c>
    </row>
    <row r="56" spans="1:4" ht="16.5" customHeight="1">
      <c r="A56" s="208" t="s">
        <v>19</v>
      </c>
      <c r="D56" s="15">
        <v>736.8</v>
      </c>
    </row>
    <row r="57" spans="1:4" ht="16.5" customHeight="1">
      <c r="A57" s="220" t="s">
        <v>79</v>
      </c>
      <c r="D57" s="15">
        <v>1129376.52</v>
      </c>
    </row>
    <row r="58" spans="1:4" ht="16.5" customHeight="1">
      <c r="A58" s="223"/>
      <c r="D58" s="20"/>
    </row>
    <row r="59" spans="1:4" ht="16.5" customHeight="1">
      <c r="A59" s="223" t="s">
        <v>20</v>
      </c>
      <c r="D59" s="20">
        <f>SUM(D54:D58)</f>
        <v>1475631.32</v>
      </c>
    </row>
    <row r="60" spans="1:4" ht="16.5" customHeight="1">
      <c r="A60" s="223"/>
      <c r="D60" s="20"/>
    </row>
    <row r="61" spans="1:4" ht="16.5" customHeight="1">
      <c r="A61" s="223"/>
      <c r="D61" s="20"/>
    </row>
    <row r="62" spans="1:4" ht="16.5" customHeight="1">
      <c r="A62" s="223"/>
      <c r="D62" s="20"/>
    </row>
    <row r="63" spans="1:4" ht="16.5" customHeight="1">
      <c r="A63" s="223"/>
      <c r="D63" s="20"/>
    </row>
    <row r="64" spans="1:4" ht="16.5" customHeight="1">
      <c r="A64" s="223"/>
      <c r="D64" s="20"/>
    </row>
    <row r="65" spans="1:4" ht="16.5" customHeight="1">
      <c r="A65" s="211"/>
      <c r="D65" s="20"/>
    </row>
    <row r="66" spans="2:4" ht="16.5" customHeight="1">
      <c r="B66" s="208"/>
      <c r="C66" s="6"/>
      <c r="D66" s="6"/>
    </row>
    <row r="67" spans="2:4" ht="16.5" customHeight="1">
      <c r="B67" s="208"/>
      <c r="C67" s="6"/>
      <c r="D67" s="6"/>
    </row>
    <row r="68" spans="2:4" ht="16.5" customHeight="1">
      <c r="B68" s="208"/>
      <c r="C68" s="6"/>
      <c r="D68" s="6"/>
    </row>
    <row r="69" spans="2:4" ht="16.5" customHeight="1">
      <c r="B69" s="208"/>
      <c r="C69" s="6"/>
      <c r="D69" s="6"/>
    </row>
    <row r="70" spans="2:4" ht="16.5" customHeight="1">
      <c r="B70" s="208"/>
      <c r="C70" s="6"/>
      <c r="D70" s="6"/>
    </row>
    <row r="71" spans="2:4" ht="16.5" customHeight="1">
      <c r="B71" s="208"/>
      <c r="C71" s="6"/>
      <c r="D71" s="6"/>
    </row>
    <row r="72" spans="2:4" ht="16.5" customHeight="1">
      <c r="B72" s="208"/>
      <c r="C72" s="6"/>
      <c r="D72" s="6"/>
    </row>
    <row r="73" spans="2:4" ht="16.5" customHeight="1">
      <c r="B73" s="208"/>
      <c r="C73" s="6"/>
      <c r="D73" s="6"/>
    </row>
    <row r="74" spans="2:4" ht="16.5" customHeight="1">
      <c r="B74" s="208"/>
      <c r="C74" s="6"/>
      <c r="D74" s="6"/>
    </row>
    <row r="75" spans="2:4" ht="16.5" customHeight="1">
      <c r="B75" s="208"/>
      <c r="C75" s="6"/>
      <c r="D75" s="6"/>
    </row>
    <row r="76" spans="2:4" ht="16.5" customHeight="1">
      <c r="B76" s="208"/>
      <c r="C76" s="6"/>
      <c r="D76" s="6"/>
    </row>
    <row r="77" spans="2:4" ht="16.5" customHeight="1">
      <c r="B77" s="208"/>
      <c r="C77" s="6"/>
      <c r="D77" s="6"/>
    </row>
    <row r="78" spans="2:4" ht="16.5" customHeight="1">
      <c r="B78" s="208"/>
      <c r="C78" s="6"/>
      <c r="D78" s="6"/>
    </row>
    <row r="79" spans="2:4" ht="16.5" customHeight="1">
      <c r="B79" s="208"/>
      <c r="C79" s="6"/>
      <c r="D79" s="6"/>
    </row>
    <row r="80" spans="2:4" ht="16.5" customHeight="1">
      <c r="B80" s="208"/>
      <c r="C80" s="6"/>
      <c r="D80" s="6"/>
    </row>
    <row r="81" spans="2:4" ht="16.5" customHeight="1">
      <c r="B81" s="208"/>
      <c r="C81" s="6"/>
      <c r="D81" s="6"/>
    </row>
    <row r="82" spans="2:4" ht="16.5" customHeight="1">
      <c r="B82" s="208"/>
      <c r="C82" s="6"/>
      <c r="D82" s="6"/>
    </row>
    <row r="83" spans="2:4" ht="16.5" customHeight="1">
      <c r="B83" s="208"/>
      <c r="C83" s="6"/>
      <c r="D83" s="6"/>
    </row>
    <row r="84" spans="2:4" ht="16.5" customHeight="1">
      <c r="B84" s="208"/>
      <c r="C84" s="6"/>
      <c r="D84" s="6"/>
    </row>
    <row r="85" spans="2:4" ht="16.5" customHeight="1">
      <c r="B85" s="208"/>
      <c r="C85" s="6"/>
      <c r="D85" s="6"/>
    </row>
    <row r="86" spans="2:4" ht="16.5" customHeight="1">
      <c r="B86" s="208"/>
      <c r="C86" s="6"/>
      <c r="D86" s="6"/>
    </row>
    <row r="87" spans="2:4" ht="16.5" customHeight="1">
      <c r="B87" s="208"/>
      <c r="C87" s="6"/>
      <c r="D87" s="6"/>
    </row>
    <row r="88" spans="2:4" ht="16.5" customHeight="1">
      <c r="B88" s="208"/>
      <c r="C88" s="6"/>
      <c r="D88" s="6"/>
    </row>
    <row r="89" spans="2:4" ht="16.5" customHeight="1">
      <c r="B89" s="208"/>
      <c r="C89" s="6"/>
      <c r="D89" s="6"/>
    </row>
    <row r="90" spans="2:4" ht="16.5" customHeight="1">
      <c r="B90" s="208"/>
      <c r="C90" s="6"/>
      <c r="D90" s="6"/>
    </row>
    <row r="91" spans="2:4" ht="16.5" customHeight="1">
      <c r="B91" s="208"/>
      <c r="C91" s="6"/>
      <c r="D91" s="6"/>
    </row>
    <row r="92" spans="2:4" ht="16.5" customHeight="1">
      <c r="B92" s="208"/>
      <c r="C92" s="6"/>
      <c r="D92" s="6"/>
    </row>
    <row r="93" spans="2:4" ht="16.5" customHeight="1">
      <c r="B93" s="208"/>
      <c r="C93" s="6"/>
      <c r="D93" s="6"/>
    </row>
    <row r="94" spans="2:4" ht="16.5" customHeight="1">
      <c r="B94" s="208"/>
      <c r="C94" s="6"/>
      <c r="D94" s="6"/>
    </row>
    <row r="95" spans="2:4" ht="16.5" customHeight="1">
      <c r="B95" s="208"/>
      <c r="C95" s="6"/>
      <c r="D95" s="6"/>
    </row>
    <row r="96" spans="2:4" ht="16.5" customHeight="1">
      <c r="B96" s="208"/>
      <c r="C96" s="6"/>
      <c r="D96" s="6"/>
    </row>
    <row r="97" spans="2:4" ht="16.5" customHeight="1">
      <c r="B97" s="208"/>
      <c r="C97" s="6"/>
      <c r="D97" s="6"/>
    </row>
    <row r="98" spans="2:4" ht="16.5" customHeight="1">
      <c r="B98" s="208"/>
      <c r="C98" s="6"/>
      <c r="D98" s="6"/>
    </row>
    <row r="99" spans="2:4" ht="16.5" customHeight="1">
      <c r="B99" s="208"/>
      <c r="C99" s="6"/>
      <c r="D99" s="6"/>
    </row>
    <row r="100" spans="2:4" ht="16.5" customHeight="1">
      <c r="B100" s="208"/>
      <c r="C100" s="6"/>
      <c r="D100" s="6"/>
    </row>
    <row r="101" spans="2:4" ht="16.5" customHeight="1">
      <c r="B101" s="208"/>
      <c r="C101" s="6"/>
      <c r="D101" s="6"/>
    </row>
    <row r="102" spans="2:4" ht="16.5" customHeight="1">
      <c r="B102" s="208"/>
      <c r="C102" s="6"/>
      <c r="D102" s="6"/>
    </row>
    <row r="103" spans="2:4" ht="16.5" customHeight="1">
      <c r="B103" s="208"/>
      <c r="C103" s="6"/>
      <c r="D103" s="6"/>
    </row>
    <row r="104" spans="2:4" ht="16.5" customHeight="1">
      <c r="B104" s="208"/>
      <c r="C104" s="6"/>
      <c r="D104" s="6"/>
    </row>
    <row r="105" spans="2:4" ht="16.5" customHeight="1">
      <c r="B105" s="208"/>
      <c r="C105" s="6"/>
      <c r="D105" s="6"/>
    </row>
    <row r="106" spans="2:4" ht="16.5" customHeight="1">
      <c r="B106" s="208"/>
      <c r="C106" s="6"/>
      <c r="D106" s="6"/>
    </row>
    <row r="107" spans="2:4" ht="16.5" customHeight="1">
      <c r="B107" s="208"/>
      <c r="C107" s="6"/>
      <c r="D107" s="6"/>
    </row>
    <row r="108" spans="2:4" ht="16.5" customHeight="1">
      <c r="B108" s="208"/>
      <c r="C108" s="6"/>
      <c r="D108" s="6"/>
    </row>
    <row r="109" spans="2:4" ht="16.5" customHeight="1">
      <c r="B109" s="208"/>
      <c r="C109" s="6"/>
      <c r="D109" s="6"/>
    </row>
    <row r="110" spans="2:4" ht="16.5" customHeight="1">
      <c r="B110" s="208"/>
      <c r="C110" s="6"/>
      <c r="D110" s="6"/>
    </row>
    <row r="111" spans="2:4" ht="16.5" customHeight="1">
      <c r="B111" s="208"/>
      <c r="C111" s="6"/>
      <c r="D111" s="6"/>
    </row>
    <row r="112" spans="2:4" ht="16.5" customHeight="1">
      <c r="B112" s="208"/>
      <c r="C112" s="6"/>
      <c r="D112" s="6"/>
    </row>
    <row r="113" spans="2:4" ht="16.5" customHeight="1">
      <c r="B113" s="208"/>
      <c r="C113" s="6"/>
      <c r="D113" s="6"/>
    </row>
    <row r="114" spans="2:4" ht="16.5" customHeight="1">
      <c r="B114" s="208"/>
      <c r="C114" s="6"/>
      <c r="D114" s="6"/>
    </row>
    <row r="115" spans="2:4" ht="16.5" customHeight="1">
      <c r="B115" s="208"/>
      <c r="C115" s="6"/>
      <c r="D115" s="6"/>
    </row>
    <row r="116" spans="2:4" ht="16.5" customHeight="1">
      <c r="B116" s="208"/>
      <c r="C116" s="6"/>
      <c r="D116" s="6"/>
    </row>
    <row r="117" spans="2:4" ht="16.5" customHeight="1">
      <c r="B117" s="208"/>
      <c r="C117" s="6"/>
      <c r="D117" s="6"/>
    </row>
    <row r="118" spans="2:4" ht="16.5" customHeight="1">
      <c r="B118" s="208"/>
      <c r="C118" s="6"/>
      <c r="D118" s="6"/>
    </row>
    <row r="119" spans="2:4" ht="16.5" customHeight="1">
      <c r="B119" s="208"/>
      <c r="C119" s="6"/>
      <c r="D119" s="6"/>
    </row>
    <row r="120" spans="2:4" ht="16.5" customHeight="1">
      <c r="B120" s="208"/>
      <c r="C120" s="6"/>
      <c r="D120" s="6"/>
    </row>
    <row r="121" spans="2:4" ht="16.5" customHeight="1">
      <c r="B121" s="208"/>
      <c r="C121" s="6"/>
      <c r="D121" s="6"/>
    </row>
    <row r="122" spans="2:4" ht="16.5" customHeight="1">
      <c r="B122" s="208"/>
      <c r="C122" s="6"/>
      <c r="D122" s="6"/>
    </row>
    <row r="123" spans="2:4" ht="16.5" customHeight="1">
      <c r="B123" s="208"/>
      <c r="C123" s="6"/>
      <c r="D123" s="6"/>
    </row>
    <row r="124" spans="2:4" ht="16.5" customHeight="1">
      <c r="B124" s="208"/>
      <c r="C124" s="6"/>
      <c r="D124" s="6"/>
    </row>
    <row r="125" spans="2:4" ht="16.5" customHeight="1">
      <c r="B125" s="208"/>
      <c r="C125" s="6"/>
      <c r="D125" s="6"/>
    </row>
    <row r="126" spans="2:4" ht="16.5" customHeight="1">
      <c r="B126" s="208"/>
      <c r="C126" s="6"/>
      <c r="D126" s="6"/>
    </row>
    <row r="127" spans="2:4" ht="16.5" customHeight="1">
      <c r="B127" s="208"/>
      <c r="C127" s="6"/>
      <c r="D127" s="6"/>
    </row>
    <row r="128" spans="2:4" ht="16.5" customHeight="1">
      <c r="B128" s="208"/>
      <c r="C128" s="6"/>
      <c r="D128" s="6"/>
    </row>
    <row r="129" spans="2:4" ht="16.5" customHeight="1">
      <c r="B129" s="208"/>
      <c r="C129" s="6"/>
      <c r="D129" s="6"/>
    </row>
    <row r="130" spans="2:4" ht="16.5" customHeight="1">
      <c r="B130" s="208"/>
      <c r="C130" s="6"/>
      <c r="D130" s="6"/>
    </row>
    <row r="131" spans="2:4" ht="16.5" customHeight="1">
      <c r="B131" s="208"/>
      <c r="C131" s="6"/>
      <c r="D131" s="6"/>
    </row>
    <row r="132" spans="2:4" ht="16.5" customHeight="1">
      <c r="B132" s="208"/>
      <c r="C132" s="6"/>
      <c r="D132" s="6"/>
    </row>
    <row r="133" spans="2:4" ht="16.5" customHeight="1">
      <c r="B133" s="208"/>
      <c r="C133" s="6"/>
      <c r="D133" s="6"/>
    </row>
    <row r="134" spans="2:4" ht="16.5" customHeight="1">
      <c r="B134" s="208"/>
      <c r="C134" s="6"/>
      <c r="D134" s="6"/>
    </row>
    <row r="135" spans="2:4" ht="16.5" customHeight="1">
      <c r="B135" s="208"/>
      <c r="C135" s="6"/>
      <c r="D135" s="6"/>
    </row>
    <row r="136" spans="2:4" ht="16.5" customHeight="1">
      <c r="B136" s="208"/>
      <c r="C136" s="6"/>
      <c r="D136" s="6"/>
    </row>
    <row r="137" spans="2:4" ht="16.5" customHeight="1">
      <c r="B137" s="208"/>
      <c r="C137" s="6"/>
      <c r="D137" s="6"/>
    </row>
    <row r="138" spans="2:4" ht="16.5" customHeight="1">
      <c r="B138" s="208"/>
      <c r="C138" s="6"/>
      <c r="D138" s="6"/>
    </row>
    <row r="139" spans="2:4" ht="16.5" customHeight="1">
      <c r="B139" s="208"/>
      <c r="C139" s="6"/>
      <c r="D139" s="6"/>
    </row>
    <row r="140" spans="2:4" ht="16.5" customHeight="1">
      <c r="B140" s="208"/>
      <c r="C140" s="6"/>
      <c r="D140" s="6"/>
    </row>
    <row r="141" spans="2:4" ht="16.5" customHeight="1">
      <c r="B141" s="208"/>
      <c r="C141" s="6"/>
      <c r="D141" s="6"/>
    </row>
    <row r="142" spans="2:4" ht="16.5" customHeight="1">
      <c r="B142" s="208"/>
      <c r="C142" s="6"/>
      <c r="D142" s="6"/>
    </row>
    <row r="143" spans="2:4" ht="16.5" customHeight="1">
      <c r="B143" s="208"/>
      <c r="C143" s="6"/>
      <c r="D143" s="6"/>
    </row>
    <row r="144" spans="2:4" ht="16.5" customHeight="1">
      <c r="B144" s="208"/>
      <c r="C144" s="6"/>
      <c r="D144" s="6"/>
    </row>
    <row r="145" spans="2:4" ht="16.5" customHeight="1">
      <c r="B145" s="208"/>
      <c r="C145" s="6"/>
      <c r="D145" s="6"/>
    </row>
    <row r="146" spans="2:4" ht="16.5" customHeight="1">
      <c r="B146" s="208"/>
      <c r="C146" s="6"/>
      <c r="D146" s="6"/>
    </row>
    <row r="147" spans="2:4" ht="16.5" customHeight="1">
      <c r="B147" s="208"/>
      <c r="C147" s="6"/>
      <c r="D147" s="6"/>
    </row>
    <row r="148" spans="2:4" ht="16.5" customHeight="1">
      <c r="B148" s="208"/>
      <c r="C148" s="6"/>
      <c r="D148" s="6"/>
    </row>
    <row r="149" spans="2:4" ht="16.5" customHeight="1">
      <c r="B149" s="208"/>
      <c r="C149" s="6"/>
      <c r="D149" s="6"/>
    </row>
    <row r="150" spans="2:4" ht="16.5" customHeight="1">
      <c r="B150" s="208"/>
      <c r="C150" s="6"/>
      <c r="D150" s="6"/>
    </row>
    <row r="151" spans="2:4" ht="16.5" customHeight="1">
      <c r="B151" s="208"/>
      <c r="C151" s="6"/>
      <c r="D151" s="6"/>
    </row>
    <row r="152" spans="2:4" ht="16.5" customHeight="1">
      <c r="B152" s="208"/>
      <c r="C152" s="6"/>
      <c r="D152" s="6"/>
    </row>
    <row r="153" spans="2:4" ht="16.5" customHeight="1">
      <c r="B153" s="208"/>
      <c r="C153" s="6"/>
      <c r="D153" s="6"/>
    </row>
    <row r="154" spans="2:4" ht="16.5" customHeight="1">
      <c r="B154" s="208"/>
      <c r="C154" s="6"/>
      <c r="D154" s="6"/>
    </row>
    <row r="155" spans="2:4" ht="16.5" customHeight="1">
      <c r="B155" s="208"/>
      <c r="C155" s="6"/>
      <c r="D155" s="6"/>
    </row>
    <row r="156" spans="2:4" ht="16.5" customHeight="1">
      <c r="B156" s="208"/>
      <c r="C156" s="6"/>
      <c r="D156" s="6"/>
    </row>
    <row r="157" spans="2:4" ht="16.5" customHeight="1">
      <c r="B157" s="208"/>
      <c r="C157" s="6"/>
      <c r="D157" s="6"/>
    </row>
    <row r="158" spans="2:4" ht="16.5" customHeight="1">
      <c r="B158" s="208"/>
      <c r="C158" s="6"/>
      <c r="D158" s="6"/>
    </row>
    <row r="159" spans="2:4" ht="16.5" customHeight="1">
      <c r="B159" s="208"/>
      <c r="C159" s="6"/>
      <c r="D159" s="6"/>
    </row>
    <row r="160" spans="2:4" ht="16.5" customHeight="1">
      <c r="B160" s="208"/>
      <c r="C160" s="6"/>
      <c r="D160" s="6"/>
    </row>
    <row r="161" spans="2:4" ht="16.5" customHeight="1">
      <c r="B161" s="208"/>
      <c r="C161" s="6"/>
      <c r="D161" s="6"/>
    </row>
    <row r="162" spans="2:4" ht="16.5" customHeight="1">
      <c r="B162" s="208"/>
      <c r="C162" s="6"/>
      <c r="D162" s="6"/>
    </row>
    <row r="163" spans="2:4" ht="16.5" customHeight="1">
      <c r="B163" s="208"/>
      <c r="C163" s="6"/>
      <c r="D163" s="6"/>
    </row>
    <row r="164" spans="2:4" ht="16.5" customHeight="1">
      <c r="B164" s="208"/>
      <c r="C164" s="6"/>
      <c r="D164" s="6"/>
    </row>
    <row r="165" spans="2:4" ht="16.5" customHeight="1">
      <c r="B165" s="208"/>
      <c r="C165" s="6"/>
      <c r="D165" s="6"/>
    </row>
    <row r="166" spans="2:4" ht="16.5" customHeight="1">
      <c r="B166" s="208"/>
      <c r="C166" s="6"/>
      <c r="D166" s="6"/>
    </row>
    <row r="167" spans="2:4" ht="16.5" customHeight="1">
      <c r="B167" s="208"/>
      <c r="C167" s="6"/>
      <c r="D167" s="6"/>
    </row>
    <row r="168" spans="2:4" ht="16.5" customHeight="1">
      <c r="B168" s="208"/>
      <c r="C168" s="6"/>
      <c r="D168" s="6"/>
    </row>
    <row r="169" spans="2:4" ht="16.5" customHeight="1">
      <c r="B169" s="208"/>
      <c r="C169" s="6"/>
      <c r="D169" s="6"/>
    </row>
    <row r="170" spans="2:4" ht="16.5" customHeight="1">
      <c r="B170" s="208"/>
      <c r="C170" s="6"/>
      <c r="D170" s="6"/>
    </row>
    <row r="171" spans="2:4" ht="16.5" customHeight="1">
      <c r="B171" s="208"/>
      <c r="C171" s="6"/>
      <c r="D171" s="6"/>
    </row>
    <row r="172" spans="2:4" ht="16.5" customHeight="1">
      <c r="B172" s="208"/>
      <c r="C172" s="6"/>
      <c r="D172" s="6"/>
    </row>
    <row r="173" spans="2:4" ht="16.5" customHeight="1">
      <c r="B173" s="208"/>
      <c r="C173" s="6"/>
      <c r="D173" s="6"/>
    </row>
    <row r="174" spans="2:4" ht="16.5" customHeight="1">
      <c r="B174" s="208"/>
      <c r="C174" s="6"/>
      <c r="D174" s="6"/>
    </row>
    <row r="175" spans="2:4" ht="16.5" customHeight="1">
      <c r="B175" s="208"/>
      <c r="C175" s="6"/>
      <c r="D175" s="6"/>
    </row>
    <row r="176" spans="2:4" ht="16.5" customHeight="1">
      <c r="B176" s="208"/>
      <c r="C176" s="6"/>
      <c r="D176" s="6"/>
    </row>
    <row r="177" spans="2:4" ht="16.5" customHeight="1">
      <c r="B177" s="208"/>
      <c r="C177" s="6"/>
      <c r="D177" s="6"/>
    </row>
    <row r="178" spans="2:4" ht="16.5" customHeight="1">
      <c r="B178" s="208"/>
      <c r="C178" s="6"/>
      <c r="D178" s="6"/>
    </row>
    <row r="179" spans="2:4" ht="16.5" customHeight="1">
      <c r="B179" s="208"/>
      <c r="C179" s="6"/>
      <c r="D179" s="6"/>
    </row>
    <row r="180" spans="2:4" ht="16.5" customHeight="1">
      <c r="B180" s="208"/>
      <c r="C180" s="6"/>
      <c r="D180" s="6"/>
    </row>
    <row r="181" spans="2:4" ht="16.5" customHeight="1">
      <c r="B181" s="208"/>
      <c r="C181" s="6"/>
      <c r="D181" s="6"/>
    </row>
    <row r="182" spans="2:4" ht="16.5" customHeight="1">
      <c r="B182" s="208"/>
      <c r="C182" s="6"/>
      <c r="D182" s="6"/>
    </row>
    <row r="183" spans="2:4" ht="16.5" customHeight="1">
      <c r="B183" s="208"/>
      <c r="C183" s="6"/>
      <c r="D183" s="6"/>
    </row>
    <row r="184" spans="2:4" ht="16.5" customHeight="1">
      <c r="B184" s="208"/>
      <c r="C184" s="6"/>
      <c r="D184" s="6"/>
    </row>
    <row r="185" spans="2:4" ht="16.5" customHeight="1">
      <c r="B185" s="208"/>
      <c r="C185" s="6"/>
      <c r="D185" s="6"/>
    </row>
    <row r="186" spans="2:4" ht="16.5" customHeight="1">
      <c r="B186" s="208"/>
      <c r="C186" s="6"/>
      <c r="D186" s="6"/>
    </row>
    <row r="187" spans="2:4" ht="16.5" customHeight="1">
      <c r="B187" s="208"/>
      <c r="C187" s="6"/>
      <c r="D187" s="6"/>
    </row>
    <row r="188" spans="2:4" ht="16.5" customHeight="1">
      <c r="B188" s="208"/>
      <c r="C188" s="6"/>
      <c r="D188" s="6"/>
    </row>
    <row r="189" spans="2:4" ht="16.5" customHeight="1">
      <c r="B189" s="208"/>
      <c r="C189" s="6"/>
      <c r="D189" s="6"/>
    </row>
    <row r="190" spans="2:4" ht="16.5" customHeight="1">
      <c r="B190" s="208"/>
      <c r="C190" s="6"/>
      <c r="D190" s="6"/>
    </row>
    <row r="191" spans="2:4" ht="16.5" customHeight="1">
      <c r="B191" s="208"/>
      <c r="C191" s="6"/>
      <c r="D191" s="6"/>
    </row>
    <row r="192" spans="2:4" ht="16.5" customHeight="1">
      <c r="B192" s="208"/>
      <c r="C192" s="6"/>
      <c r="D192" s="6"/>
    </row>
    <row r="193" spans="2:4" ht="16.5" customHeight="1">
      <c r="B193" s="208"/>
      <c r="C193" s="6"/>
      <c r="D193" s="6"/>
    </row>
    <row r="194" spans="2:4" ht="16.5" customHeight="1">
      <c r="B194" s="208"/>
      <c r="C194" s="6"/>
      <c r="D194" s="6"/>
    </row>
    <row r="195" spans="2:4" ht="16.5" customHeight="1">
      <c r="B195" s="208"/>
      <c r="C195" s="6"/>
      <c r="D195" s="6"/>
    </row>
    <row r="196" spans="2:4" ht="16.5" customHeight="1">
      <c r="B196" s="208"/>
      <c r="C196" s="6"/>
      <c r="D196" s="6"/>
    </row>
    <row r="197" spans="2:4" ht="16.5" customHeight="1">
      <c r="B197" s="208"/>
      <c r="C197" s="6"/>
      <c r="D197" s="6"/>
    </row>
    <row r="198" spans="2:4" ht="16.5" customHeight="1">
      <c r="B198" s="208"/>
      <c r="C198" s="6"/>
      <c r="D198" s="6"/>
    </row>
    <row r="199" spans="2:4" ht="16.5" customHeight="1">
      <c r="B199" s="208"/>
      <c r="C199" s="6"/>
      <c r="D199" s="6"/>
    </row>
    <row r="200" spans="2:4" ht="16.5" customHeight="1">
      <c r="B200" s="208"/>
      <c r="C200" s="6"/>
      <c r="D200" s="6"/>
    </row>
    <row r="201" spans="2:4" ht="16.5" customHeight="1">
      <c r="B201" s="208"/>
      <c r="C201" s="6"/>
      <c r="D201" s="6"/>
    </row>
    <row r="202" spans="2:4" ht="16.5" customHeight="1">
      <c r="B202" s="208"/>
      <c r="C202" s="6"/>
      <c r="D202" s="6"/>
    </row>
    <row r="203" spans="2:4" ht="16.5" customHeight="1">
      <c r="B203" s="208"/>
      <c r="C203" s="6"/>
      <c r="D203" s="6"/>
    </row>
    <row r="204" spans="2:4" ht="16.5" customHeight="1">
      <c r="B204" s="208"/>
      <c r="C204" s="6"/>
      <c r="D204" s="6"/>
    </row>
    <row r="205" spans="2:4" ht="16.5" customHeight="1">
      <c r="B205" s="208"/>
      <c r="C205" s="6"/>
      <c r="D205" s="6"/>
    </row>
    <row r="206" spans="2:4" ht="16.5" customHeight="1">
      <c r="B206" s="208"/>
      <c r="C206" s="6"/>
      <c r="D206" s="6"/>
    </row>
    <row r="207" spans="2:4" ht="16.5" customHeight="1">
      <c r="B207" s="208"/>
      <c r="C207" s="6"/>
      <c r="D207" s="6"/>
    </row>
    <row r="208" spans="2:4" ht="16.5" customHeight="1">
      <c r="B208" s="208"/>
      <c r="C208" s="6"/>
      <c r="D208" s="6"/>
    </row>
    <row r="209" spans="2:4" ht="16.5" customHeight="1">
      <c r="B209" s="208"/>
      <c r="C209" s="6"/>
      <c r="D209" s="6"/>
    </row>
    <row r="210" spans="2:4" ht="16.5" customHeight="1">
      <c r="B210" s="208"/>
      <c r="C210" s="6"/>
      <c r="D210" s="6"/>
    </row>
    <row r="211" spans="2:4" ht="16.5" customHeight="1">
      <c r="B211" s="208"/>
      <c r="C211" s="6"/>
      <c r="D211" s="6"/>
    </row>
    <row r="212" spans="2:4" ht="16.5" customHeight="1">
      <c r="B212" s="208"/>
      <c r="C212" s="6"/>
      <c r="D212" s="6"/>
    </row>
    <row r="213" spans="2:4" ht="16.5" customHeight="1">
      <c r="B213" s="208"/>
      <c r="C213" s="6"/>
      <c r="D213" s="6"/>
    </row>
    <row r="214" spans="2:4" ht="16.5" customHeight="1">
      <c r="B214" s="208"/>
      <c r="C214" s="6"/>
      <c r="D214" s="6"/>
    </row>
    <row r="215" spans="2:4" ht="16.5" customHeight="1">
      <c r="B215" s="208"/>
      <c r="C215" s="6"/>
      <c r="D215" s="6"/>
    </row>
    <row r="216" spans="2:4" ht="16.5" customHeight="1">
      <c r="B216" s="208"/>
      <c r="C216" s="6"/>
      <c r="D216" s="6"/>
    </row>
    <row r="217" spans="2:4" ht="16.5" customHeight="1">
      <c r="B217" s="208"/>
      <c r="C217" s="6"/>
      <c r="D217" s="6"/>
    </row>
    <row r="218" spans="2:4" ht="16.5" customHeight="1">
      <c r="B218" s="208"/>
      <c r="C218" s="6"/>
      <c r="D218" s="6"/>
    </row>
    <row r="219" spans="2:4" ht="16.5" customHeight="1">
      <c r="B219" s="208"/>
      <c r="C219" s="6"/>
      <c r="D219" s="6"/>
    </row>
    <row r="220" spans="2:4" ht="16.5" customHeight="1">
      <c r="B220" s="208"/>
      <c r="C220" s="6"/>
      <c r="D220" s="6"/>
    </row>
    <row r="221" spans="2:4" ht="16.5" customHeight="1">
      <c r="B221" s="208"/>
      <c r="C221" s="6"/>
      <c r="D221" s="6"/>
    </row>
    <row r="222" spans="2:4" ht="16.5" customHeight="1">
      <c r="B222" s="208"/>
      <c r="C222" s="6"/>
      <c r="D222" s="6"/>
    </row>
    <row r="223" spans="2:4" ht="16.5" customHeight="1">
      <c r="B223" s="208"/>
      <c r="C223" s="6"/>
      <c r="D223" s="6"/>
    </row>
    <row r="224" spans="2:4" ht="16.5" customHeight="1">
      <c r="B224" s="208"/>
      <c r="C224" s="6"/>
      <c r="D224" s="6"/>
    </row>
    <row r="225" spans="2:4" ht="16.5" customHeight="1">
      <c r="B225" s="208"/>
      <c r="C225" s="6"/>
      <c r="D225" s="6"/>
    </row>
    <row r="226" spans="2:4" ht="16.5" customHeight="1">
      <c r="B226" s="208"/>
      <c r="C226" s="6"/>
      <c r="D226" s="6"/>
    </row>
    <row r="227" spans="2:4" ht="16.5" customHeight="1">
      <c r="B227" s="208"/>
      <c r="C227" s="6"/>
      <c r="D227" s="6"/>
    </row>
    <row r="228" spans="2:4" ht="16.5" customHeight="1">
      <c r="B228" s="208"/>
      <c r="C228" s="6"/>
      <c r="D228" s="6"/>
    </row>
    <row r="229" spans="2:4" ht="16.5" customHeight="1">
      <c r="B229" s="208"/>
      <c r="C229" s="6"/>
      <c r="D229" s="6"/>
    </row>
    <row r="230" spans="2:4" ht="16.5" customHeight="1">
      <c r="B230" s="208"/>
      <c r="C230" s="6"/>
      <c r="D230" s="6"/>
    </row>
    <row r="231" spans="2:4" ht="16.5" customHeight="1">
      <c r="B231" s="208"/>
      <c r="C231" s="6"/>
      <c r="D231" s="6"/>
    </row>
    <row r="232" spans="2:4" ht="16.5" customHeight="1">
      <c r="B232" s="208"/>
      <c r="C232" s="6"/>
      <c r="D232" s="6"/>
    </row>
    <row r="233" spans="2:4" ht="16.5" customHeight="1">
      <c r="B233" s="208"/>
      <c r="C233" s="6"/>
      <c r="D233" s="6"/>
    </row>
    <row r="234" spans="2:4" ht="16.5" customHeight="1">
      <c r="B234" s="208"/>
      <c r="C234" s="6"/>
      <c r="D234" s="6"/>
    </row>
    <row r="235" spans="2:4" ht="16.5" customHeight="1">
      <c r="B235" s="208"/>
      <c r="C235" s="6"/>
      <c r="D235" s="6"/>
    </row>
    <row r="236" spans="2:4" ht="16.5" customHeight="1">
      <c r="B236" s="208"/>
      <c r="C236" s="6"/>
      <c r="D236" s="6"/>
    </row>
    <row r="237" spans="2:4" ht="16.5" customHeight="1">
      <c r="B237" s="208"/>
      <c r="C237" s="6"/>
      <c r="D237" s="6"/>
    </row>
    <row r="238" spans="2:4" ht="16.5" customHeight="1">
      <c r="B238" s="208"/>
      <c r="C238" s="6"/>
      <c r="D238" s="6"/>
    </row>
    <row r="239" spans="2:4" ht="16.5" customHeight="1">
      <c r="B239" s="208"/>
      <c r="C239" s="6"/>
      <c r="D239" s="6"/>
    </row>
    <row r="240" spans="2:4" ht="16.5" customHeight="1">
      <c r="B240" s="208"/>
      <c r="C240" s="6"/>
      <c r="D240" s="6"/>
    </row>
    <row r="241" spans="2:4" ht="16.5" customHeight="1">
      <c r="B241" s="208"/>
      <c r="C241" s="6"/>
      <c r="D241" s="6"/>
    </row>
    <row r="242" spans="2:4" ht="16.5" customHeight="1">
      <c r="B242" s="208"/>
      <c r="C242" s="6"/>
      <c r="D242" s="6"/>
    </row>
    <row r="243" spans="2:4" ht="16.5" customHeight="1">
      <c r="B243" s="208"/>
      <c r="C243" s="6"/>
      <c r="D243" s="6"/>
    </row>
    <row r="244" spans="2:4" ht="16.5" customHeight="1">
      <c r="B244" s="208"/>
      <c r="C244" s="6"/>
      <c r="D244" s="6"/>
    </row>
    <row r="245" spans="2:4" ht="16.5" customHeight="1">
      <c r="B245" s="208"/>
      <c r="C245" s="6"/>
      <c r="D245" s="6"/>
    </row>
    <row r="246" spans="2:4" ht="16.5" customHeight="1">
      <c r="B246" s="208"/>
      <c r="C246" s="6"/>
      <c r="D246" s="6"/>
    </row>
    <row r="247" spans="2:4" ht="16.5" customHeight="1">
      <c r="B247" s="208"/>
      <c r="C247" s="6"/>
      <c r="D247" s="6"/>
    </row>
    <row r="248" spans="2:4" ht="16.5" customHeight="1">
      <c r="B248" s="208"/>
      <c r="C248" s="6"/>
      <c r="D248" s="6"/>
    </row>
    <row r="249" spans="2:4" ht="16.5" customHeight="1">
      <c r="B249" s="208"/>
      <c r="C249" s="6"/>
      <c r="D249" s="6"/>
    </row>
    <row r="250" spans="2:4" ht="16.5" customHeight="1">
      <c r="B250" s="208"/>
      <c r="C250" s="6"/>
      <c r="D250" s="6"/>
    </row>
    <row r="251" spans="2:4" ht="16.5" customHeight="1">
      <c r="B251" s="208"/>
      <c r="C251" s="6"/>
      <c r="D251" s="6"/>
    </row>
    <row r="252" spans="2:4" ht="16.5" customHeight="1">
      <c r="B252" s="208"/>
      <c r="C252" s="6"/>
      <c r="D252" s="6"/>
    </row>
    <row r="253" spans="2:4" ht="16.5" customHeight="1">
      <c r="B253" s="208"/>
      <c r="C253" s="6"/>
      <c r="D253" s="6"/>
    </row>
    <row r="254" spans="2:4" ht="16.5" customHeight="1">
      <c r="B254" s="208"/>
      <c r="C254" s="6"/>
      <c r="D254" s="6"/>
    </row>
    <row r="255" spans="2:4" ht="16.5" customHeight="1">
      <c r="B255" s="208"/>
      <c r="C255" s="6"/>
      <c r="D255" s="6"/>
    </row>
    <row r="256" spans="2:4" ht="16.5" customHeight="1">
      <c r="B256" s="208"/>
      <c r="C256" s="6"/>
      <c r="D256" s="6"/>
    </row>
    <row r="257" spans="2:4" ht="16.5" customHeight="1">
      <c r="B257" s="208"/>
      <c r="C257" s="6"/>
      <c r="D257" s="6"/>
    </row>
    <row r="258" spans="2:4" ht="16.5" customHeight="1">
      <c r="B258" s="208"/>
      <c r="C258" s="6"/>
      <c r="D258" s="6"/>
    </row>
    <row r="259" spans="2:4" ht="16.5" customHeight="1">
      <c r="B259" s="208"/>
      <c r="C259" s="6"/>
      <c r="D259" s="6"/>
    </row>
    <row r="260" spans="2:4" ht="16.5" customHeight="1">
      <c r="B260" s="208"/>
      <c r="C260" s="6"/>
      <c r="D260" s="6"/>
    </row>
    <row r="261" spans="2:4" ht="16.5" customHeight="1">
      <c r="B261" s="208"/>
      <c r="C261" s="6"/>
      <c r="D261" s="6"/>
    </row>
    <row r="262" spans="2:4" ht="16.5" customHeight="1">
      <c r="B262" s="208"/>
      <c r="C262" s="6"/>
      <c r="D262" s="6"/>
    </row>
    <row r="263" spans="2:4" ht="16.5" customHeight="1">
      <c r="B263" s="208"/>
      <c r="C263" s="6"/>
      <c r="D263" s="6"/>
    </row>
    <row r="264" spans="2:4" ht="16.5" customHeight="1">
      <c r="B264" s="208"/>
      <c r="C264" s="6"/>
      <c r="D264" s="6"/>
    </row>
    <row r="265" spans="2:4" ht="16.5" customHeight="1">
      <c r="B265" s="208"/>
      <c r="C265" s="6"/>
      <c r="D265" s="6"/>
    </row>
    <row r="266" spans="2:4" ht="16.5" customHeight="1">
      <c r="B266" s="208"/>
      <c r="C266" s="6"/>
      <c r="D266" s="6"/>
    </row>
    <row r="267" spans="2:4" ht="16.5" customHeight="1">
      <c r="B267" s="208"/>
      <c r="C267" s="6"/>
      <c r="D267" s="6"/>
    </row>
    <row r="268" spans="2:4" ht="16.5" customHeight="1">
      <c r="B268" s="208"/>
      <c r="C268" s="6"/>
      <c r="D268" s="6"/>
    </row>
    <row r="269" spans="2:4" ht="16.5" customHeight="1">
      <c r="B269" s="208"/>
      <c r="C269" s="6"/>
      <c r="D269" s="6"/>
    </row>
    <row r="270" spans="2:4" ht="16.5" customHeight="1">
      <c r="B270" s="208"/>
      <c r="C270" s="6"/>
      <c r="D270" s="6"/>
    </row>
    <row r="271" spans="2:4" ht="16.5" customHeight="1">
      <c r="B271" s="208"/>
      <c r="C271" s="6"/>
      <c r="D271" s="6"/>
    </row>
    <row r="272" spans="2:4" ht="16.5" customHeight="1">
      <c r="B272" s="208"/>
      <c r="C272" s="6"/>
      <c r="D272" s="6"/>
    </row>
    <row r="273" spans="2:4" ht="16.5" customHeight="1">
      <c r="B273" s="208"/>
      <c r="C273" s="6"/>
      <c r="D273" s="6"/>
    </row>
    <row r="274" spans="2:4" ht="16.5" customHeight="1">
      <c r="B274" s="208"/>
      <c r="C274" s="6"/>
      <c r="D274" s="6"/>
    </row>
    <row r="275" spans="2:4" ht="16.5" customHeight="1">
      <c r="B275" s="208"/>
      <c r="C275" s="6"/>
      <c r="D275" s="6"/>
    </row>
    <row r="276" spans="2:4" ht="16.5" customHeight="1">
      <c r="B276" s="208"/>
      <c r="C276" s="6"/>
      <c r="D276" s="6"/>
    </row>
    <row r="277" spans="2:4" ht="16.5" customHeight="1">
      <c r="B277" s="208"/>
      <c r="C277" s="6"/>
      <c r="D277" s="6"/>
    </row>
    <row r="278" spans="2:4" ht="16.5" customHeight="1">
      <c r="B278" s="208"/>
      <c r="C278" s="6"/>
      <c r="D278" s="6"/>
    </row>
    <row r="279" spans="2:4" ht="16.5" customHeight="1">
      <c r="B279" s="208"/>
      <c r="C279" s="6"/>
      <c r="D279" s="6"/>
    </row>
    <row r="280" spans="2:4" ht="16.5" customHeight="1">
      <c r="B280" s="208"/>
      <c r="C280" s="6"/>
      <c r="D280" s="6"/>
    </row>
    <row r="281" spans="2:4" ht="16.5" customHeight="1">
      <c r="B281" s="208"/>
      <c r="C281" s="6"/>
      <c r="D281" s="6"/>
    </row>
    <row r="282" spans="2:4" ht="16.5" customHeight="1">
      <c r="B282" s="208"/>
      <c r="C282" s="6"/>
      <c r="D282" s="6"/>
    </row>
    <row r="283" spans="2:4" ht="16.5" customHeight="1">
      <c r="B283" s="208"/>
      <c r="C283" s="6"/>
      <c r="D283" s="6"/>
    </row>
    <row r="284" spans="2:4" ht="16.5" customHeight="1">
      <c r="B284" s="208"/>
      <c r="C284" s="6"/>
      <c r="D284" s="6"/>
    </row>
    <row r="285" spans="2:4" ht="16.5" customHeight="1">
      <c r="B285" s="208"/>
      <c r="C285" s="6"/>
      <c r="D285" s="6"/>
    </row>
    <row r="286" spans="2:4" ht="16.5" customHeight="1">
      <c r="B286" s="208"/>
      <c r="C286" s="6"/>
      <c r="D286" s="6"/>
    </row>
    <row r="287" spans="2:4" ht="16.5" customHeight="1">
      <c r="B287" s="208"/>
      <c r="C287" s="6"/>
      <c r="D287" s="6"/>
    </row>
    <row r="288" spans="2:4" ht="16.5" customHeight="1">
      <c r="B288" s="208"/>
      <c r="C288" s="6"/>
      <c r="D288" s="6"/>
    </row>
    <row r="289" spans="2:4" ht="16.5" customHeight="1">
      <c r="B289" s="208"/>
      <c r="C289" s="6"/>
      <c r="D289" s="6"/>
    </row>
    <row r="290" spans="2:4" ht="16.5" customHeight="1">
      <c r="B290" s="208"/>
      <c r="C290" s="6"/>
      <c r="D290" s="6"/>
    </row>
    <row r="291" spans="2:4" ht="16.5" customHeight="1">
      <c r="B291" s="208"/>
      <c r="C291" s="6"/>
      <c r="D291" s="6"/>
    </row>
    <row r="292" spans="2:4" ht="16.5" customHeight="1">
      <c r="B292" s="208"/>
      <c r="C292" s="6"/>
      <c r="D292" s="6"/>
    </row>
    <row r="293" spans="2:4" ht="16.5" customHeight="1">
      <c r="B293" s="208"/>
      <c r="C293" s="6"/>
      <c r="D293" s="6"/>
    </row>
    <row r="294" spans="2:4" ht="16.5" customHeight="1">
      <c r="B294" s="208"/>
      <c r="C294" s="6"/>
      <c r="D294" s="6"/>
    </row>
    <row r="295" spans="2:4" ht="16.5" customHeight="1">
      <c r="B295" s="208"/>
      <c r="C295" s="6"/>
      <c r="D295" s="6"/>
    </row>
    <row r="296" spans="2:4" ht="16.5" customHeight="1">
      <c r="B296" s="208"/>
      <c r="C296" s="6"/>
      <c r="D296" s="6"/>
    </row>
    <row r="297" spans="2:4" ht="16.5" customHeight="1">
      <c r="B297" s="208"/>
      <c r="C297" s="6"/>
      <c r="D297" s="6"/>
    </row>
    <row r="298" spans="2:4" ht="16.5" customHeight="1">
      <c r="B298" s="208"/>
      <c r="C298" s="6"/>
      <c r="D298" s="6"/>
    </row>
    <row r="299" spans="2:4" ht="16.5" customHeight="1">
      <c r="B299" s="208"/>
      <c r="C299" s="6"/>
      <c r="D299" s="6"/>
    </row>
    <row r="300" spans="2:4" ht="16.5" customHeight="1">
      <c r="B300" s="208"/>
      <c r="C300" s="6"/>
      <c r="D300" s="6"/>
    </row>
    <row r="301" spans="2:4" ht="16.5" customHeight="1">
      <c r="B301" s="208"/>
      <c r="C301" s="6"/>
      <c r="D301" s="6"/>
    </row>
    <row r="302" spans="2:4" ht="16.5" customHeight="1">
      <c r="B302" s="208"/>
      <c r="C302" s="6"/>
      <c r="D302" s="6"/>
    </row>
    <row r="303" spans="2:4" ht="16.5" customHeight="1">
      <c r="B303" s="208"/>
      <c r="C303" s="6"/>
      <c r="D303" s="6"/>
    </row>
    <row r="304" spans="2:4" ht="16.5" customHeight="1">
      <c r="B304" s="208"/>
      <c r="C304" s="6"/>
      <c r="D304" s="6"/>
    </row>
    <row r="305" spans="2:4" ht="16.5" customHeight="1">
      <c r="B305" s="208"/>
      <c r="C305" s="6"/>
      <c r="D305" s="6"/>
    </row>
    <row r="306" spans="2:4" ht="16.5" customHeight="1">
      <c r="B306" s="208"/>
      <c r="C306" s="6"/>
      <c r="D306" s="6"/>
    </row>
    <row r="307" spans="2:4" ht="16.5" customHeight="1">
      <c r="B307" s="208"/>
      <c r="C307" s="6"/>
      <c r="D307" s="6"/>
    </row>
    <row r="308" spans="2:4" ht="16.5" customHeight="1">
      <c r="B308" s="208"/>
      <c r="C308" s="6"/>
      <c r="D308" s="6"/>
    </row>
    <row r="309" spans="2:4" ht="16.5" customHeight="1">
      <c r="B309" s="208"/>
      <c r="C309" s="6"/>
      <c r="D309" s="6"/>
    </row>
    <row r="310" spans="2:4" ht="16.5" customHeight="1">
      <c r="B310" s="208"/>
      <c r="C310" s="6"/>
      <c r="D310" s="6"/>
    </row>
    <row r="311" spans="2:4" ht="16.5" customHeight="1">
      <c r="B311" s="208"/>
      <c r="C311" s="6"/>
      <c r="D311" s="6"/>
    </row>
    <row r="312" spans="2:4" ht="16.5" customHeight="1">
      <c r="B312" s="208"/>
      <c r="C312" s="6"/>
      <c r="D312" s="6"/>
    </row>
    <row r="313" spans="2:4" ht="16.5" customHeight="1">
      <c r="B313" s="208"/>
      <c r="C313" s="6"/>
      <c r="D313" s="6"/>
    </row>
    <row r="314" spans="2:4" ht="16.5" customHeight="1">
      <c r="B314" s="208"/>
      <c r="C314" s="6"/>
      <c r="D314" s="6"/>
    </row>
    <row r="315" spans="2:4" ht="16.5" customHeight="1">
      <c r="B315" s="208"/>
      <c r="C315" s="6"/>
      <c r="D315" s="6"/>
    </row>
    <row r="316" spans="2:4" ht="16.5" customHeight="1">
      <c r="B316" s="208"/>
      <c r="C316" s="6"/>
      <c r="D316" s="6"/>
    </row>
    <row r="317" spans="2:4" ht="16.5" customHeight="1">
      <c r="B317" s="208"/>
      <c r="C317" s="6"/>
      <c r="D317" s="6"/>
    </row>
    <row r="318" spans="2:4" ht="16.5" customHeight="1">
      <c r="B318" s="208"/>
      <c r="C318" s="6"/>
      <c r="D318" s="6"/>
    </row>
    <row r="319" spans="2:4" ht="16.5" customHeight="1">
      <c r="B319" s="208"/>
      <c r="C319" s="6"/>
      <c r="D319" s="6"/>
    </row>
    <row r="320" spans="2:4" ht="16.5" customHeight="1">
      <c r="B320" s="208"/>
      <c r="C320" s="6"/>
      <c r="D320" s="6"/>
    </row>
    <row r="321" spans="2:4" ht="16.5" customHeight="1">
      <c r="B321" s="208"/>
      <c r="C321" s="6"/>
      <c r="D321" s="6"/>
    </row>
    <row r="322" spans="2:4" ht="16.5" customHeight="1">
      <c r="B322" s="208"/>
      <c r="C322" s="6"/>
      <c r="D322" s="6"/>
    </row>
    <row r="323" spans="2:4" ht="16.5" customHeight="1">
      <c r="B323" s="208"/>
      <c r="C323" s="6"/>
      <c r="D323" s="6"/>
    </row>
    <row r="324" spans="2:4" ht="16.5" customHeight="1">
      <c r="B324" s="208"/>
      <c r="C324" s="6"/>
      <c r="D324" s="6"/>
    </row>
    <row r="325" spans="2:4" ht="16.5" customHeight="1">
      <c r="B325" s="208"/>
      <c r="C325" s="6"/>
      <c r="D325" s="6"/>
    </row>
    <row r="326" spans="2:4" ht="16.5" customHeight="1">
      <c r="B326" s="208"/>
      <c r="C326" s="6"/>
      <c r="D326" s="6"/>
    </row>
    <row r="327" spans="2:4" ht="16.5" customHeight="1">
      <c r="B327" s="208"/>
      <c r="C327" s="6"/>
      <c r="D327" s="6"/>
    </row>
    <row r="328" spans="2:4" ht="16.5" customHeight="1">
      <c r="B328" s="208"/>
      <c r="C328" s="6"/>
      <c r="D328" s="6"/>
    </row>
    <row r="329" spans="2:4" ht="16.5" customHeight="1">
      <c r="B329" s="208"/>
      <c r="C329" s="6"/>
      <c r="D329" s="6"/>
    </row>
    <row r="330" spans="2:4" ht="16.5" customHeight="1">
      <c r="B330" s="208"/>
      <c r="C330" s="6"/>
      <c r="D330" s="6"/>
    </row>
    <row r="331" spans="2:4" ht="16.5" customHeight="1">
      <c r="B331" s="208"/>
      <c r="C331" s="6"/>
      <c r="D331" s="6"/>
    </row>
    <row r="332" spans="2:4" ht="16.5" customHeight="1">
      <c r="B332" s="208"/>
      <c r="C332" s="6"/>
      <c r="D332" s="6"/>
    </row>
    <row r="333" spans="2:4" ht="16.5" customHeight="1">
      <c r="B333" s="208"/>
      <c r="C333" s="6"/>
      <c r="D333" s="6"/>
    </row>
    <row r="334" spans="2:4" ht="16.5" customHeight="1">
      <c r="B334" s="208"/>
      <c r="C334" s="6"/>
      <c r="D334" s="6"/>
    </row>
    <row r="335" spans="2:4" ht="16.5" customHeight="1">
      <c r="B335" s="208"/>
      <c r="C335" s="6"/>
      <c r="D335" s="6"/>
    </row>
    <row r="336" spans="2:4" ht="16.5" customHeight="1">
      <c r="B336" s="208"/>
      <c r="C336" s="6"/>
      <c r="D336" s="6"/>
    </row>
    <row r="337" spans="2:4" ht="16.5" customHeight="1">
      <c r="B337" s="208"/>
      <c r="C337" s="6"/>
      <c r="D337" s="6"/>
    </row>
    <row r="338" spans="2:4" ht="16.5" customHeight="1">
      <c r="B338" s="208"/>
      <c r="C338" s="6"/>
      <c r="D338" s="6"/>
    </row>
    <row r="339" spans="2:4" ht="16.5" customHeight="1">
      <c r="B339" s="208"/>
      <c r="C339" s="6"/>
      <c r="D339" s="6"/>
    </row>
    <row r="340" spans="2:4" ht="16.5" customHeight="1">
      <c r="B340" s="208"/>
      <c r="C340" s="6"/>
      <c r="D340" s="6"/>
    </row>
    <row r="341" spans="2:4" ht="16.5" customHeight="1">
      <c r="B341" s="208"/>
      <c r="C341" s="6"/>
      <c r="D341" s="6"/>
    </row>
    <row r="342" spans="2:4" ht="16.5" customHeight="1">
      <c r="B342" s="208"/>
      <c r="C342" s="6"/>
      <c r="D342" s="6"/>
    </row>
    <row r="343" spans="2:4" ht="16.5" customHeight="1">
      <c r="B343" s="208"/>
      <c r="C343" s="6"/>
      <c r="D343" s="6"/>
    </row>
    <row r="344" spans="2:4" ht="16.5" customHeight="1">
      <c r="B344" s="208"/>
      <c r="C344" s="6"/>
      <c r="D344" s="6"/>
    </row>
    <row r="345" spans="2:4" ht="16.5" customHeight="1">
      <c r="B345" s="208"/>
      <c r="C345" s="6"/>
      <c r="D345" s="6"/>
    </row>
    <row r="346" spans="2:4" ht="16.5" customHeight="1">
      <c r="B346" s="208"/>
      <c r="C346" s="6"/>
      <c r="D346" s="6"/>
    </row>
    <row r="347" spans="2:4" ht="16.5" customHeight="1">
      <c r="B347" s="208"/>
      <c r="C347" s="6"/>
      <c r="D347" s="6"/>
    </row>
    <row r="348" spans="2:4" ht="16.5" customHeight="1">
      <c r="B348" s="208"/>
      <c r="C348" s="6"/>
      <c r="D348" s="6"/>
    </row>
    <row r="349" spans="2:4" ht="16.5" customHeight="1">
      <c r="B349" s="208"/>
      <c r="C349" s="6"/>
      <c r="D349" s="6"/>
    </row>
    <row r="350" spans="2:4" ht="16.5" customHeight="1">
      <c r="B350" s="208"/>
      <c r="C350" s="6"/>
      <c r="D350" s="6"/>
    </row>
    <row r="351" spans="2:4" ht="16.5" customHeight="1">
      <c r="B351" s="208"/>
      <c r="C351" s="6"/>
      <c r="D351" s="6"/>
    </row>
    <row r="352" spans="2:4" ht="16.5" customHeight="1">
      <c r="B352" s="208"/>
      <c r="C352" s="6"/>
      <c r="D352" s="6"/>
    </row>
    <row r="353" spans="2:4" ht="16.5" customHeight="1">
      <c r="B353" s="208"/>
      <c r="C353" s="6"/>
      <c r="D353" s="6"/>
    </row>
    <row r="354" spans="2:4" ht="16.5" customHeight="1">
      <c r="B354" s="208"/>
      <c r="C354" s="6"/>
      <c r="D354" s="6"/>
    </row>
    <row r="355" spans="2:4" ht="16.5" customHeight="1">
      <c r="B355" s="208"/>
      <c r="C355" s="6"/>
      <c r="D355" s="6"/>
    </row>
    <row r="356" spans="2:4" ht="16.5" customHeight="1">
      <c r="B356" s="208"/>
      <c r="C356" s="6"/>
      <c r="D356" s="6"/>
    </row>
    <row r="357" spans="2:4" ht="16.5" customHeight="1">
      <c r="B357" s="208"/>
      <c r="C357" s="6"/>
      <c r="D357" s="6"/>
    </row>
    <row r="358" spans="2:4" ht="16.5" customHeight="1">
      <c r="B358" s="208"/>
      <c r="C358" s="6"/>
      <c r="D358" s="6"/>
    </row>
    <row r="359" spans="2:4" ht="16.5" customHeight="1">
      <c r="B359" s="208"/>
      <c r="C359" s="6"/>
      <c r="D359" s="6"/>
    </row>
    <row r="360" spans="2:4" ht="16.5" customHeight="1">
      <c r="B360" s="208"/>
      <c r="C360" s="6"/>
      <c r="D360" s="6"/>
    </row>
    <row r="361" spans="2:4" ht="16.5" customHeight="1">
      <c r="B361" s="208"/>
      <c r="C361" s="6"/>
      <c r="D361" s="6"/>
    </row>
    <row r="362" spans="2:4" ht="16.5" customHeight="1">
      <c r="B362" s="208"/>
      <c r="C362" s="6"/>
      <c r="D362" s="6"/>
    </row>
    <row r="363" spans="2:4" ht="16.5" customHeight="1">
      <c r="B363" s="208"/>
      <c r="C363" s="6"/>
      <c r="D363" s="6"/>
    </row>
    <row r="364" spans="2:4" ht="16.5" customHeight="1">
      <c r="B364" s="208"/>
      <c r="C364" s="6"/>
      <c r="D364" s="6"/>
    </row>
    <row r="365" spans="2:4" ht="16.5" customHeight="1">
      <c r="B365" s="208"/>
      <c r="C365" s="6"/>
      <c r="D365" s="6"/>
    </row>
    <row r="366" spans="2:4" ht="16.5" customHeight="1">
      <c r="B366" s="208"/>
      <c r="C366" s="6"/>
      <c r="D366" s="6"/>
    </row>
    <row r="367" spans="2:4" ht="16.5" customHeight="1">
      <c r="B367" s="208"/>
      <c r="C367" s="6"/>
      <c r="D367" s="6"/>
    </row>
    <row r="368" spans="2:4" ht="16.5" customHeight="1">
      <c r="B368" s="208"/>
      <c r="C368" s="6"/>
      <c r="D368" s="6"/>
    </row>
    <row r="369" spans="2:4" ht="16.5" customHeight="1">
      <c r="B369" s="208"/>
      <c r="C369" s="6"/>
      <c r="D369" s="6"/>
    </row>
    <row r="370" spans="2:4" ht="16.5" customHeight="1">
      <c r="B370" s="208"/>
      <c r="C370" s="6"/>
      <c r="D370" s="6"/>
    </row>
    <row r="371" spans="2:4" ht="16.5" customHeight="1">
      <c r="B371" s="208"/>
      <c r="C371" s="6"/>
      <c r="D371" s="6"/>
    </row>
    <row r="372" spans="2:4" ht="16.5" customHeight="1">
      <c r="B372" s="208"/>
      <c r="C372" s="6"/>
      <c r="D372" s="6"/>
    </row>
    <row r="373" spans="2:4" ht="16.5" customHeight="1">
      <c r="B373" s="208"/>
      <c r="C373" s="6"/>
      <c r="D373" s="6"/>
    </row>
    <row r="374" spans="2:4" ht="16.5" customHeight="1">
      <c r="B374" s="208"/>
      <c r="C374" s="6"/>
      <c r="D374" s="6"/>
    </row>
    <row r="375" spans="2:4" ht="16.5" customHeight="1">
      <c r="B375" s="208"/>
      <c r="C375" s="6"/>
      <c r="D375" s="6"/>
    </row>
    <row r="376" spans="2:4" ht="16.5" customHeight="1">
      <c r="B376" s="208"/>
      <c r="C376" s="6"/>
      <c r="D376" s="6"/>
    </row>
    <row r="377" spans="2:4" ht="16.5" customHeight="1">
      <c r="B377" s="208"/>
      <c r="C377" s="6"/>
      <c r="D377" s="6"/>
    </row>
    <row r="378" spans="2:4" ht="16.5" customHeight="1">
      <c r="B378" s="208"/>
      <c r="C378" s="6"/>
      <c r="D378" s="6"/>
    </row>
    <row r="379" spans="2:4" ht="16.5" customHeight="1">
      <c r="B379" s="208"/>
      <c r="C379" s="6"/>
      <c r="D379" s="6"/>
    </row>
    <row r="380" spans="2:4" ht="16.5" customHeight="1">
      <c r="B380" s="208"/>
      <c r="C380" s="6"/>
      <c r="D380" s="6"/>
    </row>
    <row r="381" spans="2:4" ht="16.5" customHeight="1">
      <c r="B381" s="208"/>
      <c r="C381" s="6"/>
      <c r="D381" s="6"/>
    </row>
    <row r="382" spans="2:4" ht="16.5" customHeight="1">
      <c r="B382" s="208"/>
      <c r="C382" s="6"/>
      <c r="D382" s="6"/>
    </row>
    <row r="383" spans="2:4" ht="16.5" customHeight="1">
      <c r="B383" s="208"/>
      <c r="C383" s="6"/>
      <c r="D383" s="6"/>
    </row>
    <row r="384" spans="2:4" ht="16.5" customHeight="1">
      <c r="B384" s="208"/>
      <c r="C384" s="6"/>
      <c r="D384" s="6"/>
    </row>
    <row r="385" spans="2:4" ht="16.5" customHeight="1">
      <c r="B385" s="208"/>
      <c r="C385" s="6"/>
      <c r="D385" s="6"/>
    </row>
    <row r="386" spans="2:4" ht="16.5" customHeight="1">
      <c r="B386" s="208"/>
      <c r="C386" s="6"/>
      <c r="D386" s="6"/>
    </row>
    <row r="387" spans="2:4" ht="16.5" customHeight="1">
      <c r="B387" s="208"/>
      <c r="C387" s="6"/>
      <c r="D387" s="6"/>
    </row>
    <row r="388" spans="2:4" ht="16.5" customHeight="1">
      <c r="B388" s="208"/>
      <c r="C388" s="6"/>
      <c r="D388" s="6"/>
    </row>
    <row r="389" spans="2:4" ht="16.5" customHeight="1">
      <c r="B389" s="208"/>
      <c r="C389" s="6"/>
      <c r="D389" s="6"/>
    </row>
    <row r="390" spans="2:4" ht="16.5" customHeight="1">
      <c r="B390" s="208"/>
      <c r="C390" s="6"/>
      <c r="D390" s="6"/>
    </row>
    <row r="391" spans="2:4" ht="16.5" customHeight="1">
      <c r="B391" s="208"/>
      <c r="C391" s="6"/>
      <c r="D391" s="6"/>
    </row>
    <row r="392" spans="2:4" ht="16.5" customHeight="1">
      <c r="B392" s="208"/>
      <c r="C392" s="6"/>
      <c r="D392" s="6"/>
    </row>
    <row r="393" spans="2:4" ht="16.5" customHeight="1">
      <c r="B393" s="208"/>
      <c r="C393" s="6"/>
      <c r="D393" s="6"/>
    </row>
    <row r="394" spans="2:4" ht="16.5" customHeight="1">
      <c r="B394" s="208"/>
      <c r="C394" s="6"/>
      <c r="D394" s="6"/>
    </row>
    <row r="395" spans="2:4" ht="16.5" customHeight="1">
      <c r="B395" s="208"/>
      <c r="C395" s="6"/>
      <c r="D395" s="6"/>
    </row>
    <row r="396" spans="2:4" ht="16.5" customHeight="1">
      <c r="B396" s="208"/>
      <c r="C396" s="6"/>
      <c r="D396" s="6"/>
    </row>
    <row r="397" spans="2:4" ht="16.5" customHeight="1">
      <c r="B397" s="208"/>
      <c r="C397" s="6"/>
      <c r="D397" s="6"/>
    </row>
    <row r="398" spans="2:4" ht="16.5" customHeight="1">
      <c r="B398" s="208"/>
      <c r="C398" s="6"/>
      <c r="D398" s="6"/>
    </row>
    <row r="399" spans="2:4" ht="16.5" customHeight="1">
      <c r="B399" s="208"/>
      <c r="C399" s="6"/>
      <c r="D399" s="6"/>
    </row>
    <row r="400" spans="2:4" ht="16.5" customHeight="1">
      <c r="B400" s="208"/>
      <c r="C400" s="6"/>
      <c r="D400" s="6"/>
    </row>
    <row r="401" spans="2:4" ht="16.5" customHeight="1">
      <c r="B401" s="208"/>
      <c r="C401" s="6"/>
      <c r="D401" s="6"/>
    </row>
    <row r="402" spans="2:4" ht="16.5" customHeight="1">
      <c r="B402" s="208"/>
      <c r="C402" s="6"/>
      <c r="D402" s="6"/>
    </row>
    <row r="403" spans="2:4" ht="16.5" customHeight="1">
      <c r="B403" s="208"/>
      <c r="C403" s="6"/>
      <c r="D403" s="6"/>
    </row>
    <row r="404" spans="2:4" ht="16.5" customHeight="1">
      <c r="B404" s="208"/>
      <c r="C404" s="6"/>
      <c r="D404" s="6"/>
    </row>
    <row r="405" spans="2:4" ht="16.5" customHeight="1">
      <c r="B405" s="208"/>
      <c r="C405" s="6"/>
      <c r="D405" s="6"/>
    </row>
    <row r="406" spans="2:4" ht="16.5" customHeight="1">
      <c r="B406" s="208"/>
      <c r="C406" s="6"/>
      <c r="D406" s="6"/>
    </row>
    <row r="407" spans="2:4" ht="16.5" customHeight="1">
      <c r="B407" s="208"/>
      <c r="C407" s="6"/>
      <c r="D407" s="6"/>
    </row>
    <row r="408" spans="2:4" ht="16.5" customHeight="1">
      <c r="B408" s="208"/>
      <c r="C408" s="6"/>
      <c r="D408" s="6"/>
    </row>
    <row r="409" spans="2:4" ht="16.5" customHeight="1">
      <c r="B409" s="208"/>
      <c r="C409" s="6"/>
      <c r="D409" s="6"/>
    </row>
    <row r="410" spans="2:4" ht="16.5" customHeight="1">
      <c r="B410" s="208"/>
      <c r="C410" s="6"/>
      <c r="D410" s="6"/>
    </row>
    <row r="411" spans="2:4" ht="16.5" customHeight="1">
      <c r="B411" s="208"/>
      <c r="C411" s="6"/>
      <c r="D411" s="6"/>
    </row>
    <row r="412" spans="2:4" ht="16.5" customHeight="1">
      <c r="B412" s="208"/>
      <c r="C412" s="6"/>
      <c r="D412" s="6"/>
    </row>
    <row r="413" spans="2:4" ht="16.5" customHeight="1">
      <c r="B413" s="208"/>
      <c r="C413" s="6"/>
      <c r="D413" s="6"/>
    </row>
    <row r="414" spans="2:4" ht="16.5" customHeight="1">
      <c r="B414" s="208"/>
      <c r="C414" s="6"/>
      <c r="D414" s="6"/>
    </row>
    <row r="415" spans="2:4" ht="16.5" customHeight="1">
      <c r="B415" s="208"/>
      <c r="C415" s="6"/>
      <c r="D415" s="6"/>
    </row>
    <row r="416" spans="2:4" ht="16.5" customHeight="1">
      <c r="B416" s="208"/>
      <c r="C416" s="6"/>
      <c r="D416" s="6"/>
    </row>
    <row r="417" spans="2:4" ht="16.5" customHeight="1">
      <c r="B417" s="208"/>
      <c r="C417" s="6"/>
      <c r="D417" s="6"/>
    </row>
    <row r="418" spans="2:4" ht="16.5" customHeight="1">
      <c r="B418" s="208"/>
      <c r="C418" s="6"/>
      <c r="D418" s="6"/>
    </row>
    <row r="419" spans="2:4" ht="16.5" customHeight="1">
      <c r="B419" s="208"/>
      <c r="C419" s="6"/>
      <c r="D419" s="6"/>
    </row>
    <row r="420" spans="2:4" ht="16.5" customHeight="1">
      <c r="B420" s="208"/>
      <c r="C420" s="6"/>
      <c r="D420" s="6"/>
    </row>
    <row r="421" spans="2:4" ht="16.5" customHeight="1">
      <c r="B421" s="208"/>
      <c r="C421" s="6"/>
      <c r="D421" s="6"/>
    </row>
    <row r="422" spans="2:4" ht="16.5" customHeight="1">
      <c r="B422" s="208"/>
      <c r="C422" s="6"/>
      <c r="D422" s="6"/>
    </row>
    <row r="423" spans="2:4" ht="16.5" customHeight="1">
      <c r="B423" s="208"/>
      <c r="C423" s="6"/>
      <c r="D423" s="6"/>
    </row>
    <row r="424" spans="2:4" ht="16.5" customHeight="1">
      <c r="B424" s="208"/>
      <c r="C424" s="6"/>
      <c r="D424" s="6"/>
    </row>
    <row r="425" spans="2:4" ht="16.5" customHeight="1">
      <c r="B425" s="208"/>
      <c r="C425" s="6"/>
      <c r="D425" s="6"/>
    </row>
    <row r="426" spans="2:4" ht="16.5" customHeight="1">
      <c r="B426" s="208"/>
      <c r="C426" s="6"/>
      <c r="D426" s="6"/>
    </row>
    <row r="427" spans="2:4" ht="16.5" customHeight="1">
      <c r="B427" s="208"/>
      <c r="C427" s="6"/>
      <c r="D427" s="6"/>
    </row>
    <row r="428" spans="2:4" ht="16.5" customHeight="1">
      <c r="B428" s="208"/>
      <c r="C428" s="6"/>
      <c r="D428" s="6"/>
    </row>
    <row r="429" spans="2:4" ht="16.5" customHeight="1">
      <c r="B429" s="208"/>
      <c r="C429" s="6"/>
      <c r="D429" s="6"/>
    </row>
    <row r="430" spans="2:4" ht="16.5" customHeight="1">
      <c r="B430" s="208"/>
      <c r="C430" s="6"/>
      <c r="D430" s="6"/>
    </row>
    <row r="431" spans="2:4" ht="16.5" customHeight="1">
      <c r="B431" s="208"/>
      <c r="C431" s="6"/>
      <c r="D431" s="6"/>
    </row>
    <row r="432" spans="2:4" ht="16.5" customHeight="1">
      <c r="B432" s="208"/>
      <c r="C432" s="6"/>
      <c r="D432" s="6"/>
    </row>
    <row r="433" spans="2:4" ht="16.5" customHeight="1">
      <c r="B433" s="208"/>
      <c r="C433" s="6"/>
      <c r="D433" s="6"/>
    </row>
    <row r="434" spans="2:4" ht="16.5" customHeight="1">
      <c r="B434" s="208"/>
      <c r="C434" s="6"/>
      <c r="D434" s="6"/>
    </row>
    <row r="435" spans="2:4" ht="16.5" customHeight="1">
      <c r="B435" s="208"/>
      <c r="C435" s="6"/>
      <c r="D435" s="6"/>
    </row>
    <row r="436" spans="2:4" ht="16.5" customHeight="1">
      <c r="B436" s="208"/>
      <c r="C436" s="6"/>
      <c r="D436" s="6"/>
    </row>
    <row r="437" spans="2:4" ht="16.5" customHeight="1">
      <c r="B437" s="208"/>
      <c r="C437" s="6"/>
      <c r="D437" s="6"/>
    </row>
    <row r="438" spans="2:4" ht="16.5" customHeight="1">
      <c r="B438" s="208"/>
      <c r="C438" s="6"/>
      <c r="D438" s="6"/>
    </row>
    <row r="439" spans="2:4" ht="16.5" customHeight="1">
      <c r="B439" s="208"/>
      <c r="C439" s="6"/>
      <c r="D439" s="6"/>
    </row>
    <row r="440" spans="2:4" ht="16.5" customHeight="1">
      <c r="B440" s="208"/>
      <c r="C440" s="6"/>
      <c r="D440" s="6"/>
    </row>
    <row r="441" spans="2:4" ht="16.5" customHeight="1">
      <c r="B441" s="208"/>
      <c r="C441" s="6"/>
      <c r="D441" s="6"/>
    </row>
    <row r="442" spans="2:4" ht="16.5" customHeight="1">
      <c r="B442" s="208"/>
      <c r="C442" s="6"/>
      <c r="D442" s="6"/>
    </row>
    <row r="443" spans="2:4" ht="16.5" customHeight="1">
      <c r="B443" s="208"/>
      <c r="C443" s="6"/>
      <c r="D443" s="6"/>
    </row>
    <row r="444" spans="2:4" ht="16.5" customHeight="1">
      <c r="B444" s="208"/>
      <c r="C444" s="6"/>
      <c r="D444" s="6"/>
    </row>
    <row r="445" spans="2:4" ht="16.5" customHeight="1">
      <c r="B445" s="208"/>
      <c r="C445" s="6"/>
      <c r="D445" s="6"/>
    </row>
    <row r="446" spans="2:4" ht="16.5" customHeight="1">
      <c r="B446" s="208"/>
      <c r="C446" s="6"/>
      <c r="D446" s="6"/>
    </row>
    <row r="447" spans="2:4" ht="16.5" customHeight="1">
      <c r="B447" s="208"/>
      <c r="C447" s="6"/>
      <c r="D447" s="6"/>
    </row>
    <row r="448" spans="2:4" ht="16.5" customHeight="1">
      <c r="B448" s="208"/>
      <c r="C448" s="6"/>
      <c r="D448" s="6"/>
    </row>
    <row r="449" spans="2:4" ht="16.5" customHeight="1">
      <c r="B449" s="208"/>
      <c r="C449" s="6"/>
      <c r="D449" s="6"/>
    </row>
    <row r="450" spans="2:4" ht="16.5" customHeight="1">
      <c r="B450" s="208"/>
      <c r="C450" s="6"/>
      <c r="D450" s="6"/>
    </row>
    <row r="451" spans="2:4" ht="16.5" customHeight="1">
      <c r="B451" s="208"/>
      <c r="C451" s="6"/>
      <c r="D451" s="6"/>
    </row>
    <row r="452" spans="2:4" ht="16.5" customHeight="1">
      <c r="B452" s="208"/>
      <c r="C452" s="6"/>
      <c r="D452" s="6"/>
    </row>
    <row r="453" spans="2:4" ht="16.5" customHeight="1">
      <c r="B453" s="208"/>
      <c r="C453" s="6"/>
      <c r="D453" s="6"/>
    </row>
    <row r="454" spans="2:4" ht="16.5" customHeight="1">
      <c r="B454" s="208"/>
      <c r="C454" s="6"/>
      <c r="D454" s="6"/>
    </row>
    <row r="455" spans="2:4" ht="16.5" customHeight="1">
      <c r="B455" s="208"/>
      <c r="C455" s="6"/>
      <c r="D455" s="6"/>
    </row>
    <row r="456" spans="2:4" ht="16.5" customHeight="1">
      <c r="B456" s="208"/>
      <c r="C456" s="6"/>
      <c r="D456" s="6"/>
    </row>
    <row r="457" spans="2:4" ht="16.5" customHeight="1">
      <c r="B457" s="208"/>
      <c r="C457" s="6"/>
      <c r="D457" s="6"/>
    </row>
    <row r="458" spans="2:4" ht="16.5" customHeight="1">
      <c r="B458" s="208"/>
      <c r="C458" s="6"/>
      <c r="D458" s="6"/>
    </row>
    <row r="459" spans="2:4" ht="16.5" customHeight="1">
      <c r="B459" s="208"/>
      <c r="C459" s="6"/>
      <c r="D459" s="6"/>
    </row>
    <row r="460" spans="2:4" ht="16.5" customHeight="1">
      <c r="B460" s="208"/>
      <c r="C460" s="6"/>
      <c r="D460" s="6"/>
    </row>
    <row r="461" spans="2:4" ht="16.5" customHeight="1">
      <c r="B461" s="208"/>
      <c r="C461" s="6"/>
      <c r="D461" s="6"/>
    </row>
    <row r="462" spans="2:4" ht="16.5" customHeight="1">
      <c r="B462" s="208"/>
      <c r="C462" s="6"/>
      <c r="D462" s="6"/>
    </row>
    <row r="463" spans="2:4" ht="16.5" customHeight="1">
      <c r="B463" s="208"/>
      <c r="C463" s="6"/>
      <c r="D463" s="6"/>
    </row>
    <row r="464" spans="2:4" ht="16.5" customHeight="1">
      <c r="B464" s="208"/>
      <c r="C464" s="6"/>
      <c r="D464" s="6"/>
    </row>
    <row r="465" spans="2:4" ht="16.5" customHeight="1">
      <c r="B465" s="208"/>
      <c r="C465" s="6"/>
      <c r="D465" s="6"/>
    </row>
    <row r="466" spans="2:4" ht="16.5" customHeight="1">
      <c r="B466" s="208"/>
      <c r="C466" s="6"/>
      <c r="D466" s="6"/>
    </row>
    <row r="467" spans="2:4" ht="16.5" customHeight="1">
      <c r="B467" s="208"/>
      <c r="C467" s="6"/>
      <c r="D467" s="6"/>
    </row>
    <row r="468" spans="2:4" ht="16.5" customHeight="1">
      <c r="B468" s="208"/>
      <c r="C468" s="6"/>
      <c r="D468" s="6"/>
    </row>
    <row r="469" spans="2:4" ht="16.5" customHeight="1">
      <c r="B469" s="208"/>
      <c r="C469" s="6"/>
      <c r="D469" s="6"/>
    </row>
    <row r="470" spans="2:4" ht="16.5" customHeight="1">
      <c r="B470" s="208"/>
      <c r="C470" s="6"/>
      <c r="D470" s="6"/>
    </row>
    <row r="471" spans="2:4" ht="16.5" customHeight="1">
      <c r="B471" s="208"/>
      <c r="C471" s="6"/>
      <c r="D471" s="6"/>
    </row>
    <row r="472" spans="2:4" ht="16.5" customHeight="1">
      <c r="B472" s="208"/>
      <c r="C472" s="6"/>
      <c r="D472" s="6"/>
    </row>
    <row r="473" spans="2:4" ht="16.5" customHeight="1">
      <c r="B473" s="208"/>
      <c r="C473" s="6"/>
      <c r="D473" s="6"/>
    </row>
    <row r="474" spans="2:4" ht="16.5" customHeight="1">
      <c r="B474" s="208"/>
      <c r="C474" s="6"/>
      <c r="D474" s="6"/>
    </row>
    <row r="475" spans="2:4" ht="16.5" customHeight="1">
      <c r="B475" s="208"/>
      <c r="C475" s="6"/>
      <c r="D475" s="6"/>
    </row>
    <row r="476" spans="2:4" ht="16.5" customHeight="1">
      <c r="B476" s="208"/>
      <c r="C476" s="6"/>
      <c r="D476" s="6"/>
    </row>
    <row r="477" spans="2:4" ht="16.5" customHeight="1">
      <c r="B477" s="208"/>
      <c r="C477" s="6"/>
      <c r="D477" s="6"/>
    </row>
    <row r="478" spans="2:4" ht="16.5" customHeight="1">
      <c r="B478" s="208"/>
      <c r="C478" s="6"/>
      <c r="D478" s="6"/>
    </row>
    <row r="479" spans="2:4" ht="16.5" customHeight="1">
      <c r="B479" s="208"/>
      <c r="C479" s="6"/>
      <c r="D479" s="6"/>
    </row>
    <row r="480" spans="2:4" ht="16.5" customHeight="1">
      <c r="B480" s="208"/>
      <c r="C480" s="6"/>
      <c r="D480" s="6"/>
    </row>
    <row r="481" spans="2:4" ht="16.5" customHeight="1">
      <c r="B481" s="208"/>
      <c r="C481" s="6"/>
      <c r="D481" s="6"/>
    </row>
    <row r="482" spans="2:4" ht="16.5" customHeight="1">
      <c r="B482" s="208"/>
      <c r="C482" s="6"/>
      <c r="D482" s="6"/>
    </row>
    <row r="483" spans="2:4" ht="16.5" customHeight="1">
      <c r="B483" s="208"/>
      <c r="C483" s="6"/>
      <c r="D483" s="6"/>
    </row>
    <row r="484" spans="2:4" ht="16.5" customHeight="1">
      <c r="B484" s="208"/>
      <c r="C484" s="6"/>
      <c r="D484" s="6"/>
    </row>
    <row r="485" spans="2:4" ht="16.5" customHeight="1">
      <c r="B485" s="208"/>
      <c r="C485" s="6"/>
      <c r="D485" s="6"/>
    </row>
    <row r="486" spans="2:4" ht="16.5" customHeight="1">
      <c r="B486" s="208"/>
      <c r="C486" s="6"/>
      <c r="D486" s="6"/>
    </row>
    <row r="487" spans="2:4" ht="16.5" customHeight="1">
      <c r="B487" s="208"/>
      <c r="C487" s="6"/>
      <c r="D487" s="6"/>
    </row>
    <row r="488" spans="2:4" ht="16.5" customHeight="1">
      <c r="B488" s="208"/>
      <c r="C488" s="6"/>
      <c r="D488" s="6"/>
    </row>
    <row r="489" spans="2:4" ht="16.5" customHeight="1">
      <c r="B489" s="208"/>
      <c r="C489" s="6"/>
      <c r="D489" s="6"/>
    </row>
    <row r="490" spans="2:4" ht="16.5" customHeight="1">
      <c r="B490" s="208"/>
      <c r="C490" s="6"/>
      <c r="D490" s="6"/>
    </row>
    <row r="491" spans="2:4" ht="16.5" customHeight="1">
      <c r="B491" s="208"/>
      <c r="C491" s="6"/>
      <c r="D491" s="6"/>
    </row>
    <row r="492" spans="2:4" ht="16.5" customHeight="1">
      <c r="B492" s="208"/>
      <c r="C492" s="6"/>
      <c r="D492" s="6"/>
    </row>
    <row r="493" spans="2:4" ht="16.5" customHeight="1">
      <c r="B493" s="208"/>
      <c r="C493" s="6"/>
      <c r="D493" s="6"/>
    </row>
    <row r="494" spans="2:4" ht="16.5" customHeight="1">
      <c r="B494" s="208"/>
      <c r="C494" s="6"/>
      <c r="D494" s="6"/>
    </row>
    <row r="495" spans="2:4" ht="16.5" customHeight="1">
      <c r="B495" s="208"/>
      <c r="C495" s="6"/>
      <c r="D495" s="6"/>
    </row>
    <row r="496" spans="2:4" ht="16.5" customHeight="1">
      <c r="B496" s="208"/>
      <c r="C496" s="6"/>
      <c r="D496" s="6"/>
    </row>
    <row r="497" spans="2:4" ht="16.5" customHeight="1">
      <c r="B497" s="208"/>
      <c r="C497" s="6"/>
      <c r="D497" s="6"/>
    </row>
    <row r="498" spans="2:4" ht="16.5" customHeight="1">
      <c r="B498" s="208"/>
      <c r="C498" s="6"/>
      <c r="D498" s="6"/>
    </row>
    <row r="499" spans="2:4" ht="16.5" customHeight="1">
      <c r="B499" s="208"/>
      <c r="C499" s="6"/>
      <c r="D499" s="6"/>
    </row>
    <row r="500" spans="2:4" ht="16.5" customHeight="1">
      <c r="B500" s="208"/>
      <c r="C500" s="6"/>
      <c r="D500" s="6"/>
    </row>
    <row r="501" spans="2:4" ht="16.5" customHeight="1">
      <c r="B501" s="208"/>
      <c r="C501" s="6"/>
      <c r="D501" s="6"/>
    </row>
    <row r="502" spans="2:4" ht="16.5" customHeight="1">
      <c r="B502" s="208"/>
      <c r="C502" s="6"/>
      <c r="D502" s="6"/>
    </row>
    <row r="503" spans="2:4" ht="16.5" customHeight="1">
      <c r="B503" s="208"/>
      <c r="C503" s="18"/>
      <c r="D503" s="6"/>
    </row>
    <row r="504" spans="2:4" ht="16.5" customHeight="1">
      <c r="B504" s="208"/>
      <c r="C504" s="18"/>
      <c r="D504" s="6"/>
    </row>
    <row r="505" spans="2:4" ht="16.5" customHeight="1">
      <c r="B505" s="208"/>
      <c r="C505" s="18"/>
      <c r="D505" s="6"/>
    </row>
    <row r="506" spans="2:4" ht="16.5" customHeight="1">
      <c r="B506" s="208"/>
      <c r="C506" s="18"/>
      <c r="D506" s="6"/>
    </row>
    <row r="507" spans="2:4" ht="16.5" customHeight="1">
      <c r="B507" s="208"/>
      <c r="C507" s="18"/>
      <c r="D507" s="6"/>
    </row>
    <row r="508" spans="2:4" ht="16.5" customHeight="1">
      <c r="B508" s="208"/>
      <c r="C508" s="18"/>
      <c r="D508" s="6"/>
    </row>
    <row r="509" spans="2:4" ht="16.5" customHeight="1">
      <c r="B509" s="208"/>
      <c r="C509" s="18"/>
      <c r="D509" s="6"/>
    </row>
    <row r="510" spans="2:4" ht="16.5" customHeight="1">
      <c r="B510" s="208"/>
      <c r="C510" s="18"/>
      <c r="D510" s="6"/>
    </row>
    <row r="511" spans="2:4" ht="16.5" customHeight="1">
      <c r="B511" s="208"/>
      <c r="C511" s="18"/>
      <c r="D511" s="6"/>
    </row>
    <row r="512" spans="2:4" ht="16.5" customHeight="1">
      <c r="B512" s="208"/>
      <c r="C512" s="18"/>
      <c r="D512" s="6"/>
    </row>
    <row r="513" spans="2:4" ht="16.5" customHeight="1">
      <c r="B513" s="208"/>
      <c r="C513" s="18"/>
      <c r="D513" s="6"/>
    </row>
    <row r="514" spans="2:4" ht="16.5" customHeight="1">
      <c r="B514" s="208"/>
      <c r="C514" s="18"/>
      <c r="D514" s="6"/>
    </row>
    <row r="515" spans="2:4" ht="16.5" customHeight="1">
      <c r="B515" s="208"/>
      <c r="C515" s="18"/>
      <c r="D515" s="6"/>
    </row>
    <row r="516" spans="2:4" ht="16.5" customHeight="1">
      <c r="B516" s="208"/>
      <c r="C516" s="18"/>
      <c r="D516" s="6"/>
    </row>
    <row r="517" spans="2:4" ht="16.5" customHeight="1">
      <c r="B517" s="208"/>
      <c r="C517" s="18"/>
      <c r="D517" s="6"/>
    </row>
    <row r="518" spans="2:4" ht="16.5" customHeight="1">
      <c r="B518" s="208"/>
      <c r="C518" s="18"/>
      <c r="D518" s="6"/>
    </row>
    <row r="519" spans="2:4" ht="16.5" customHeight="1">
      <c r="B519" s="208"/>
      <c r="C519" s="18"/>
      <c r="D519" s="6"/>
    </row>
    <row r="520" spans="2:4" ht="16.5" customHeight="1">
      <c r="B520" s="208"/>
      <c r="C520" s="18"/>
      <c r="D520" s="6"/>
    </row>
    <row r="521" spans="2:4" ht="16.5" customHeight="1">
      <c r="B521" s="208"/>
      <c r="C521" s="18"/>
      <c r="D521" s="6"/>
    </row>
    <row r="522" spans="2:4" ht="16.5" customHeight="1">
      <c r="B522" s="208"/>
      <c r="C522" s="18"/>
      <c r="D522" s="6"/>
    </row>
    <row r="523" spans="2:4" ht="16.5" customHeight="1">
      <c r="B523" s="208"/>
      <c r="C523" s="18"/>
      <c r="D523" s="6"/>
    </row>
    <row r="524" spans="2:4" ht="16.5" customHeight="1">
      <c r="B524" s="208"/>
      <c r="C524" s="18"/>
      <c r="D524" s="6"/>
    </row>
    <row r="525" spans="2:4" ht="16.5" customHeight="1">
      <c r="B525" s="208"/>
      <c r="C525" s="18"/>
      <c r="D525" s="6"/>
    </row>
    <row r="526" spans="2:4" ht="16.5" customHeight="1">
      <c r="B526" s="208"/>
      <c r="C526" s="18"/>
      <c r="D526" s="6"/>
    </row>
    <row r="527" spans="2:4" ht="16.5" customHeight="1">
      <c r="B527" s="208"/>
      <c r="C527" s="18"/>
      <c r="D527" s="6"/>
    </row>
    <row r="528" spans="2:4" ht="16.5" customHeight="1">
      <c r="B528" s="208"/>
      <c r="C528" s="18"/>
      <c r="D528" s="6"/>
    </row>
    <row r="529" spans="2:4" ht="16.5" customHeight="1">
      <c r="B529" s="208"/>
      <c r="C529" s="18"/>
      <c r="D529" s="6"/>
    </row>
    <row r="530" spans="2:4" ht="16.5" customHeight="1">
      <c r="B530" s="208"/>
      <c r="C530" s="18"/>
      <c r="D530" s="6"/>
    </row>
    <row r="531" spans="2:4" ht="16.5" customHeight="1">
      <c r="B531" s="208"/>
      <c r="C531" s="18"/>
      <c r="D531" s="6"/>
    </row>
    <row r="532" spans="2:4" ht="16.5" customHeight="1">
      <c r="B532" s="208"/>
      <c r="C532" s="18"/>
      <c r="D532" s="6"/>
    </row>
    <row r="533" spans="2:4" ht="16.5" customHeight="1">
      <c r="B533" s="208"/>
      <c r="C533" s="18"/>
      <c r="D533" s="6"/>
    </row>
    <row r="534" spans="2:4" ht="16.5" customHeight="1">
      <c r="B534" s="208"/>
      <c r="C534" s="18"/>
      <c r="D534" s="6"/>
    </row>
    <row r="535" spans="2:4" ht="16.5" customHeight="1">
      <c r="B535" s="208"/>
      <c r="C535" s="18"/>
      <c r="D535" s="6"/>
    </row>
    <row r="536" spans="2:4" ht="16.5" customHeight="1">
      <c r="B536" s="208"/>
      <c r="C536" s="18"/>
      <c r="D536" s="6"/>
    </row>
    <row r="537" spans="2:4" ht="16.5" customHeight="1">
      <c r="B537" s="208"/>
      <c r="C537" s="18"/>
      <c r="D537" s="6"/>
    </row>
    <row r="538" spans="2:4" ht="16.5" customHeight="1">
      <c r="B538" s="208"/>
      <c r="C538" s="18"/>
      <c r="D538" s="6"/>
    </row>
    <row r="539" spans="2:4" ht="16.5" customHeight="1">
      <c r="B539" s="208"/>
      <c r="C539" s="18"/>
      <c r="D539" s="6"/>
    </row>
    <row r="540" spans="2:4" ht="16.5" customHeight="1">
      <c r="B540" s="208"/>
      <c r="C540" s="18"/>
      <c r="D540" s="6"/>
    </row>
    <row r="541" spans="2:4" ht="16.5" customHeight="1">
      <c r="B541" s="208"/>
      <c r="C541" s="18"/>
      <c r="D541" s="6"/>
    </row>
    <row r="542" spans="2:4" ht="16.5" customHeight="1">
      <c r="B542" s="208"/>
      <c r="C542" s="18"/>
      <c r="D542" s="6"/>
    </row>
    <row r="543" spans="2:4" ht="16.5" customHeight="1">
      <c r="B543" s="208"/>
      <c r="C543" s="18"/>
      <c r="D543" s="6"/>
    </row>
    <row r="544" spans="2:4" ht="16.5" customHeight="1">
      <c r="B544" s="208"/>
      <c r="C544" s="18"/>
      <c r="D544" s="6"/>
    </row>
    <row r="545" spans="2:4" ht="16.5" customHeight="1">
      <c r="B545" s="208"/>
      <c r="C545" s="18"/>
      <c r="D545" s="6"/>
    </row>
    <row r="546" spans="2:4" ht="16.5" customHeight="1">
      <c r="B546" s="208"/>
      <c r="C546" s="18"/>
      <c r="D546" s="6"/>
    </row>
    <row r="547" spans="2:4" ht="16.5" customHeight="1">
      <c r="B547" s="208"/>
      <c r="C547" s="18"/>
      <c r="D547" s="6"/>
    </row>
    <row r="548" spans="2:4" ht="16.5" customHeight="1">
      <c r="B548" s="208"/>
      <c r="C548" s="18"/>
      <c r="D548" s="6"/>
    </row>
    <row r="549" spans="2:4" ht="16.5" customHeight="1">
      <c r="B549" s="208"/>
      <c r="C549" s="18"/>
      <c r="D549" s="6"/>
    </row>
    <row r="550" spans="2:4" ht="16.5" customHeight="1">
      <c r="B550" s="208"/>
      <c r="C550" s="18"/>
      <c r="D550" s="6"/>
    </row>
    <row r="551" spans="2:4" ht="16.5" customHeight="1">
      <c r="B551" s="208"/>
      <c r="C551" s="18"/>
      <c r="D551" s="6"/>
    </row>
    <row r="552" spans="2:4" ht="16.5" customHeight="1">
      <c r="B552" s="208"/>
      <c r="C552" s="18"/>
      <c r="D552" s="6"/>
    </row>
    <row r="553" spans="2:4" ht="16.5" customHeight="1">
      <c r="B553" s="208"/>
      <c r="C553" s="18"/>
      <c r="D553" s="6"/>
    </row>
    <row r="554" spans="2:4" ht="16.5" customHeight="1">
      <c r="B554" s="208"/>
      <c r="C554" s="18"/>
      <c r="D554" s="6"/>
    </row>
    <row r="555" spans="2:4" ht="16.5" customHeight="1">
      <c r="B555" s="208"/>
      <c r="C555" s="18"/>
      <c r="D555" s="6"/>
    </row>
    <row r="556" spans="2:4" ht="16.5" customHeight="1">
      <c r="B556" s="208"/>
      <c r="C556" s="18"/>
      <c r="D556" s="6"/>
    </row>
    <row r="557" spans="2:4" ht="16.5" customHeight="1">
      <c r="B557" s="208"/>
      <c r="C557" s="18"/>
      <c r="D557" s="6"/>
    </row>
    <row r="558" spans="2:4" ht="16.5" customHeight="1">
      <c r="B558" s="208"/>
      <c r="C558" s="18"/>
      <c r="D558" s="6"/>
    </row>
    <row r="559" spans="2:4" ht="16.5" customHeight="1">
      <c r="B559" s="208"/>
      <c r="C559" s="18"/>
      <c r="D559" s="6"/>
    </row>
    <row r="560" spans="2:4" ht="16.5" customHeight="1">
      <c r="B560" s="208"/>
      <c r="C560" s="18"/>
      <c r="D560" s="6"/>
    </row>
    <row r="561" spans="2:4" ht="16.5" customHeight="1">
      <c r="B561" s="208"/>
      <c r="C561" s="18"/>
      <c r="D561" s="6"/>
    </row>
    <row r="562" spans="2:4" ht="16.5" customHeight="1">
      <c r="B562" s="208"/>
      <c r="C562" s="18"/>
      <c r="D562" s="6"/>
    </row>
    <row r="563" spans="2:4" ht="16.5" customHeight="1">
      <c r="B563" s="208"/>
      <c r="C563" s="18"/>
      <c r="D563" s="6"/>
    </row>
    <row r="564" spans="2:4" ht="16.5" customHeight="1">
      <c r="B564" s="208"/>
      <c r="C564" s="18"/>
      <c r="D564" s="6"/>
    </row>
    <row r="565" spans="2:4" ht="16.5" customHeight="1">
      <c r="B565" s="208"/>
      <c r="C565" s="18"/>
      <c r="D565" s="6"/>
    </row>
    <row r="566" spans="2:4" ht="16.5" customHeight="1">
      <c r="B566" s="208"/>
      <c r="C566" s="18"/>
      <c r="D566" s="6"/>
    </row>
    <row r="567" spans="2:4" ht="16.5" customHeight="1">
      <c r="B567" s="208"/>
      <c r="C567" s="18"/>
      <c r="D567" s="6"/>
    </row>
    <row r="568" spans="2:4" ht="16.5" customHeight="1">
      <c r="B568" s="208"/>
      <c r="C568" s="18"/>
      <c r="D568" s="6"/>
    </row>
    <row r="569" spans="2:4" ht="16.5" customHeight="1">
      <c r="B569" s="208"/>
      <c r="C569" s="18"/>
      <c r="D569" s="6"/>
    </row>
    <row r="570" spans="2:4" ht="16.5" customHeight="1">
      <c r="B570" s="208"/>
      <c r="C570" s="18"/>
      <c r="D570" s="6"/>
    </row>
    <row r="571" spans="2:4" ht="16.5" customHeight="1">
      <c r="B571" s="208"/>
      <c r="C571" s="18"/>
      <c r="D571" s="6"/>
    </row>
    <row r="572" spans="2:4" ht="16.5" customHeight="1">
      <c r="B572" s="208"/>
      <c r="C572" s="18"/>
      <c r="D572" s="6"/>
    </row>
    <row r="573" spans="2:4" ht="16.5" customHeight="1">
      <c r="B573" s="208"/>
      <c r="C573" s="18"/>
      <c r="D573" s="6"/>
    </row>
    <row r="574" spans="2:4" ht="16.5" customHeight="1">
      <c r="B574" s="208"/>
      <c r="C574" s="18"/>
      <c r="D574" s="6"/>
    </row>
    <row r="575" spans="2:4" ht="16.5" customHeight="1">
      <c r="B575" s="208"/>
      <c r="C575" s="18"/>
      <c r="D575" s="6"/>
    </row>
    <row r="576" spans="2:4" ht="16.5" customHeight="1">
      <c r="B576" s="208"/>
      <c r="C576" s="18"/>
      <c r="D576" s="6"/>
    </row>
    <row r="577" spans="2:4" ht="16.5" customHeight="1">
      <c r="B577" s="208"/>
      <c r="C577" s="18"/>
      <c r="D577" s="6"/>
    </row>
    <row r="578" spans="2:4" ht="16.5" customHeight="1">
      <c r="B578" s="208"/>
      <c r="C578" s="18"/>
      <c r="D578" s="6"/>
    </row>
    <row r="579" spans="2:4" ht="16.5" customHeight="1">
      <c r="B579" s="208"/>
      <c r="C579" s="18"/>
      <c r="D579" s="6"/>
    </row>
    <row r="580" spans="2:4" ht="16.5" customHeight="1">
      <c r="B580" s="208"/>
      <c r="C580" s="18"/>
      <c r="D580" s="6"/>
    </row>
    <row r="581" spans="2:4" ht="16.5" customHeight="1">
      <c r="B581" s="208"/>
      <c r="C581" s="18"/>
      <c r="D581" s="6"/>
    </row>
    <row r="582" spans="2:4" ht="16.5" customHeight="1">
      <c r="B582" s="208"/>
      <c r="C582" s="18"/>
      <c r="D582" s="6"/>
    </row>
    <row r="583" spans="2:4" ht="16.5" customHeight="1">
      <c r="B583" s="208"/>
      <c r="C583" s="18"/>
      <c r="D583" s="6"/>
    </row>
    <row r="584" spans="2:4" ht="16.5" customHeight="1">
      <c r="B584" s="208"/>
      <c r="C584" s="18"/>
      <c r="D584" s="6"/>
    </row>
    <row r="585" spans="2:4" ht="16.5" customHeight="1">
      <c r="B585" s="208"/>
      <c r="C585" s="18"/>
      <c r="D585" s="6"/>
    </row>
    <row r="586" spans="2:4" ht="16.5" customHeight="1">
      <c r="B586" s="208"/>
      <c r="C586" s="18"/>
      <c r="D586" s="6"/>
    </row>
    <row r="587" spans="2:4" ht="16.5" customHeight="1">
      <c r="B587" s="208"/>
      <c r="C587" s="18"/>
      <c r="D587" s="6"/>
    </row>
    <row r="588" spans="2:4" ht="16.5" customHeight="1">
      <c r="B588" s="208"/>
      <c r="C588" s="18"/>
      <c r="D588" s="6"/>
    </row>
    <row r="589" spans="2:4" ht="16.5" customHeight="1">
      <c r="B589" s="208"/>
      <c r="C589" s="18"/>
      <c r="D589" s="6"/>
    </row>
    <row r="590" spans="2:4" ht="16.5" customHeight="1">
      <c r="B590" s="208"/>
      <c r="C590" s="18"/>
      <c r="D590" s="6"/>
    </row>
    <row r="591" spans="2:4" ht="16.5" customHeight="1">
      <c r="B591" s="208"/>
      <c r="C591" s="18"/>
      <c r="D591" s="6"/>
    </row>
    <row r="592" spans="2:4" ht="16.5" customHeight="1">
      <c r="B592" s="208"/>
      <c r="C592" s="18"/>
      <c r="D592" s="6"/>
    </row>
    <row r="593" spans="2:4" ht="16.5" customHeight="1">
      <c r="B593" s="208"/>
      <c r="C593" s="18"/>
      <c r="D593" s="6"/>
    </row>
    <row r="594" spans="2:4" ht="16.5" customHeight="1">
      <c r="B594" s="208"/>
      <c r="C594" s="18"/>
      <c r="D594" s="6"/>
    </row>
    <row r="595" spans="2:4" ht="16.5" customHeight="1">
      <c r="B595" s="208"/>
      <c r="C595" s="18"/>
      <c r="D595" s="6"/>
    </row>
    <row r="596" spans="2:4" ht="16.5" customHeight="1">
      <c r="B596" s="208"/>
      <c r="C596" s="18"/>
      <c r="D596" s="6"/>
    </row>
    <row r="597" spans="1:4" ht="16.5" customHeight="1">
      <c r="A597" s="214"/>
      <c r="B597" s="214"/>
      <c r="C597" s="18"/>
      <c r="D597" s="6"/>
    </row>
    <row r="598" spans="1:4" ht="16.5" customHeight="1">
      <c r="A598" s="214"/>
      <c r="B598" s="214"/>
      <c r="C598" s="18"/>
      <c r="D598" s="6"/>
    </row>
    <row r="599" spans="1:4" ht="16.5" customHeight="1">
      <c r="A599" s="214"/>
      <c r="B599" s="214"/>
      <c r="C599" s="18"/>
      <c r="D599" s="6"/>
    </row>
    <row r="600" spans="1:4" ht="16.5" customHeight="1">
      <c r="A600" s="214"/>
      <c r="B600" s="214"/>
      <c r="C600" s="18"/>
      <c r="D600" s="6"/>
    </row>
    <row r="601" spans="1:4" ht="16.5" customHeight="1">
      <c r="A601" s="222"/>
      <c r="B601" s="222"/>
      <c r="C601" s="18"/>
      <c r="D601" s="6"/>
    </row>
    <row r="602" spans="1:4" ht="16.5" customHeight="1">
      <c r="A602" s="222"/>
      <c r="B602" s="222"/>
      <c r="C602" s="18"/>
      <c r="D602" s="6"/>
    </row>
    <row r="603" spans="1:4" ht="16.5" customHeight="1">
      <c r="A603" s="222"/>
      <c r="B603" s="222"/>
      <c r="C603" s="18"/>
      <c r="D603" s="6"/>
    </row>
    <row r="604" spans="1:4" ht="16.5" customHeight="1">
      <c r="A604" s="222"/>
      <c r="B604" s="222"/>
      <c r="C604" s="18"/>
      <c r="D604" s="6"/>
    </row>
    <row r="605" spans="1:4" ht="16.5" customHeight="1">
      <c r="A605" s="222"/>
      <c r="B605" s="222"/>
      <c r="C605" s="18"/>
      <c r="D605" s="6"/>
    </row>
    <row r="606" spans="1:4" ht="16.5" customHeight="1">
      <c r="A606" s="222"/>
      <c r="B606" s="222"/>
      <c r="C606" s="18"/>
      <c r="D606" s="6"/>
    </row>
    <row r="607" spans="1:4" ht="16.5" customHeight="1">
      <c r="A607" s="222"/>
      <c r="B607" s="222"/>
      <c r="C607" s="18"/>
      <c r="D607" s="6"/>
    </row>
    <row r="608" spans="1:4" ht="16.5" customHeight="1">
      <c r="A608" s="222"/>
      <c r="B608" s="222"/>
      <c r="C608" s="18"/>
      <c r="D608" s="6"/>
    </row>
    <row r="609" spans="1:4" ht="16.5" customHeight="1">
      <c r="A609" s="222"/>
      <c r="B609" s="222"/>
      <c r="C609" s="18"/>
      <c r="D609" s="6"/>
    </row>
    <row r="610" spans="1:4" ht="16.5" customHeight="1">
      <c r="A610" s="222"/>
      <c r="B610" s="222"/>
      <c r="C610" s="18"/>
      <c r="D610" s="6"/>
    </row>
    <row r="611" spans="1:4" ht="16.5" customHeight="1">
      <c r="A611" s="222"/>
      <c r="B611" s="222"/>
      <c r="C611" s="18"/>
      <c r="D611" s="6"/>
    </row>
    <row r="612" spans="1:4" ht="16.5" customHeight="1">
      <c r="A612" s="222"/>
      <c r="B612" s="222"/>
      <c r="C612" s="18"/>
      <c r="D612" s="6"/>
    </row>
    <row r="613" spans="1:4" ht="16.5" customHeight="1">
      <c r="A613" s="222"/>
      <c r="B613" s="222"/>
      <c r="C613" s="18"/>
      <c r="D613" s="6"/>
    </row>
    <row r="614" spans="1:4" ht="16.5" customHeight="1">
      <c r="A614" s="222"/>
      <c r="B614" s="222"/>
      <c r="C614" s="18"/>
      <c r="D614" s="6"/>
    </row>
    <row r="615" spans="1:4" ht="16.5" customHeight="1">
      <c r="A615" s="222"/>
      <c r="B615" s="222"/>
      <c r="C615" s="18"/>
      <c r="D615" s="6"/>
    </row>
    <row r="616" spans="1:4" ht="16.5" customHeight="1">
      <c r="A616" s="222"/>
      <c r="B616" s="222"/>
      <c r="C616" s="18"/>
      <c r="D616" s="6"/>
    </row>
    <row r="617" spans="1:4" ht="16.5" customHeight="1">
      <c r="A617" s="222"/>
      <c r="B617" s="222"/>
      <c r="C617" s="18"/>
      <c r="D617" s="6"/>
    </row>
    <row r="618" spans="1:4" ht="16.5" customHeight="1">
      <c r="A618" s="222"/>
      <c r="B618" s="222"/>
      <c r="C618" s="18"/>
      <c r="D618" s="6"/>
    </row>
    <row r="619" spans="1:4" ht="16.5" customHeight="1">
      <c r="A619" s="222"/>
      <c r="B619" s="222"/>
      <c r="C619" s="18"/>
      <c r="D619" s="6"/>
    </row>
    <row r="620" spans="1:4" ht="16.5" customHeight="1">
      <c r="A620" s="222"/>
      <c r="B620" s="222"/>
      <c r="C620" s="18"/>
      <c r="D620" s="6"/>
    </row>
    <row r="621" spans="1:4" ht="16.5" customHeight="1">
      <c r="A621" s="222"/>
      <c r="B621" s="222"/>
      <c r="C621" s="18"/>
      <c r="D621" s="6"/>
    </row>
    <row r="622" spans="1:4" ht="16.5" customHeight="1">
      <c r="A622" s="222"/>
      <c r="B622" s="224"/>
      <c r="C622" s="18"/>
      <c r="D622" s="6"/>
    </row>
    <row r="623" spans="1:4" ht="16.5" customHeight="1">
      <c r="A623" s="222"/>
      <c r="B623" s="225"/>
      <c r="C623" s="18"/>
      <c r="D623" s="6"/>
    </row>
    <row r="624" spans="1:4" ht="16.5" customHeight="1">
      <c r="A624" s="222"/>
      <c r="B624" s="222"/>
      <c r="C624" s="18"/>
      <c r="D624" s="6"/>
    </row>
    <row r="625" spans="1:4" ht="16.5" customHeight="1">
      <c r="A625" s="222"/>
      <c r="B625" s="222"/>
      <c r="C625" s="18"/>
      <c r="D625" s="6"/>
    </row>
    <row r="626" spans="1:4" ht="16.5" customHeight="1">
      <c r="A626" s="222"/>
      <c r="B626" s="222"/>
      <c r="C626" s="18"/>
      <c r="D626" s="6"/>
    </row>
    <row r="627" spans="1:4" ht="16.5" customHeight="1">
      <c r="A627" s="222"/>
      <c r="B627" s="222"/>
      <c r="C627" s="18"/>
      <c r="D627" s="6"/>
    </row>
    <row r="628" spans="1:4" ht="16.5" customHeight="1">
      <c r="A628" s="222"/>
      <c r="B628" s="222"/>
      <c r="C628" s="18"/>
      <c r="D628" s="6"/>
    </row>
    <row r="629" spans="1:4" ht="16.5" customHeight="1">
      <c r="A629" s="222"/>
      <c r="B629" s="222"/>
      <c r="C629" s="18"/>
      <c r="D629" s="6"/>
    </row>
    <row r="630" spans="1:4" ht="16.5" customHeight="1">
      <c r="A630" s="222"/>
      <c r="B630" s="222"/>
      <c r="C630" s="18"/>
      <c r="D630" s="6"/>
    </row>
    <row r="631" spans="1:4" ht="16.5" customHeight="1">
      <c r="A631" s="214"/>
      <c r="B631" s="214"/>
      <c r="C631" s="18"/>
      <c r="D631" s="6"/>
    </row>
    <row r="632" spans="1:4" ht="16.5" customHeight="1">
      <c r="A632" s="214"/>
      <c r="B632" s="214"/>
      <c r="C632" s="18"/>
      <c r="D632" s="6"/>
    </row>
    <row r="633" spans="1:4" ht="16.5" customHeight="1">
      <c r="A633" s="214"/>
      <c r="B633" s="214"/>
      <c r="C633" s="18"/>
      <c r="D633" s="6"/>
    </row>
    <row r="634" spans="1:4" ht="16.5" customHeight="1">
      <c r="A634" s="214"/>
      <c r="B634" s="214"/>
      <c r="C634" s="18"/>
      <c r="D634" s="6"/>
    </row>
    <row r="635" spans="1:4" ht="16.5" customHeight="1">
      <c r="A635" s="214"/>
      <c r="B635" s="214"/>
      <c r="C635" s="18"/>
      <c r="D635" s="6"/>
    </row>
    <row r="636" spans="1:4" ht="16.5" customHeight="1">
      <c r="A636" s="214"/>
      <c r="B636" s="214"/>
      <c r="C636" s="18"/>
      <c r="D636" s="6"/>
    </row>
    <row r="637" spans="2:4" ht="16.5" customHeight="1">
      <c r="B637" s="208"/>
      <c r="C637" s="18"/>
      <c r="D637" s="6"/>
    </row>
    <row r="638" spans="2:4" ht="16.5" customHeight="1">
      <c r="B638" s="208"/>
      <c r="C638" s="18"/>
      <c r="D638" s="6"/>
    </row>
    <row r="639" spans="2:4" ht="16.5" customHeight="1">
      <c r="B639" s="208"/>
      <c r="C639" s="18"/>
      <c r="D639" s="6"/>
    </row>
    <row r="640" spans="2:4" ht="16.5" customHeight="1">
      <c r="B640" s="208"/>
      <c r="C640" s="18"/>
      <c r="D640" s="6"/>
    </row>
    <row r="641" spans="2:4" ht="16.5" customHeight="1">
      <c r="B641" s="208"/>
      <c r="C641" s="18"/>
      <c r="D641" s="6"/>
    </row>
    <row r="642" spans="2:4" ht="16.5" customHeight="1">
      <c r="B642" s="208"/>
      <c r="C642" s="18"/>
      <c r="D642" s="6"/>
    </row>
    <row r="643" spans="2:4" ht="16.5" customHeight="1">
      <c r="B643" s="208"/>
      <c r="C643" s="18"/>
      <c r="D643" s="6"/>
    </row>
    <row r="644" spans="2:4" ht="16.5" customHeight="1">
      <c r="B644" s="208"/>
      <c r="C644" s="18"/>
      <c r="D644" s="6"/>
    </row>
    <row r="645" spans="2:4" ht="16.5" customHeight="1">
      <c r="B645" s="208"/>
      <c r="C645" s="18"/>
      <c r="D645" s="6"/>
    </row>
    <row r="646" spans="2:4" ht="16.5" customHeight="1">
      <c r="B646" s="208"/>
      <c r="C646" s="18"/>
      <c r="D646" s="6"/>
    </row>
    <row r="647" spans="2:4" ht="16.5" customHeight="1">
      <c r="B647" s="208"/>
      <c r="C647" s="18"/>
      <c r="D647" s="6"/>
    </row>
    <row r="648" spans="2:4" ht="16.5" customHeight="1">
      <c r="B648" s="208"/>
      <c r="C648" s="18"/>
      <c r="D648" s="6"/>
    </row>
    <row r="649" spans="2:4" ht="16.5" customHeight="1">
      <c r="B649" s="208"/>
      <c r="C649" s="18"/>
      <c r="D649" s="6"/>
    </row>
    <row r="650" spans="2:4" ht="16.5" customHeight="1">
      <c r="B650" s="208"/>
      <c r="C650" s="18"/>
      <c r="D650" s="6"/>
    </row>
    <row r="651" spans="2:4" ht="16.5" customHeight="1">
      <c r="B651" s="208"/>
      <c r="C651" s="18"/>
      <c r="D651" s="6"/>
    </row>
    <row r="652" spans="2:4" ht="16.5" customHeight="1">
      <c r="B652" s="208"/>
      <c r="C652" s="18"/>
      <c r="D652" s="6"/>
    </row>
    <row r="653" spans="2:4" ht="16.5" customHeight="1">
      <c r="B653" s="208"/>
      <c r="C653" s="18"/>
      <c r="D653" s="6"/>
    </row>
    <row r="654" spans="2:4" ht="16.5" customHeight="1">
      <c r="B654" s="208"/>
      <c r="C654" s="18"/>
      <c r="D654" s="6"/>
    </row>
    <row r="655" spans="2:4" ht="16.5" customHeight="1">
      <c r="B655" s="208"/>
      <c r="C655" s="18"/>
      <c r="D655" s="6"/>
    </row>
    <row r="656" spans="2:4" ht="16.5" customHeight="1">
      <c r="B656" s="208"/>
      <c r="C656" s="18"/>
      <c r="D656" s="6"/>
    </row>
    <row r="657" spans="2:4" ht="16.5" customHeight="1">
      <c r="B657" s="208"/>
      <c r="C657" s="18"/>
      <c r="D657" s="6"/>
    </row>
    <row r="658" spans="2:4" ht="16.5" customHeight="1">
      <c r="B658" s="208"/>
      <c r="C658" s="18"/>
      <c r="D658" s="6"/>
    </row>
    <row r="659" spans="2:4" ht="16.5" customHeight="1">
      <c r="B659" s="208"/>
      <c r="C659" s="18"/>
      <c r="D659" s="6"/>
    </row>
    <row r="660" spans="2:4" ht="16.5" customHeight="1">
      <c r="B660" s="208"/>
      <c r="C660" s="18"/>
      <c r="D660" s="6"/>
    </row>
    <row r="661" spans="2:4" ht="16.5" customHeight="1">
      <c r="B661" s="208"/>
      <c r="C661" s="18"/>
      <c r="D661" s="6"/>
    </row>
    <row r="662" spans="2:4" ht="16.5" customHeight="1">
      <c r="B662" s="208"/>
      <c r="C662" s="18"/>
      <c r="D662" s="6"/>
    </row>
    <row r="663" spans="2:4" ht="16.5" customHeight="1">
      <c r="B663" s="208"/>
      <c r="C663" s="18"/>
      <c r="D663" s="6"/>
    </row>
    <row r="664" spans="2:4" ht="16.5" customHeight="1">
      <c r="B664" s="208"/>
      <c r="C664" s="18"/>
      <c r="D664" s="6"/>
    </row>
    <row r="665" spans="2:4" ht="16.5" customHeight="1">
      <c r="B665" s="208"/>
      <c r="C665" s="18"/>
      <c r="D665" s="6"/>
    </row>
    <row r="666" spans="2:4" ht="16.5" customHeight="1">
      <c r="B666" s="208"/>
      <c r="C666" s="18"/>
      <c r="D666" s="6"/>
    </row>
    <row r="667" spans="2:4" ht="16.5" customHeight="1">
      <c r="B667" s="208"/>
      <c r="C667" s="18"/>
      <c r="D667" s="6"/>
    </row>
    <row r="668" spans="2:4" ht="16.5" customHeight="1">
      <c r="B668" s="208"/>
      <c r="C668" s="18"/>
      <c r="D668" s="6"/>
    </row>
    <row r="669" spans="2:4" ht="16.5" customHeight="1">
      <c r="B669" s="208"/>
      <c r="C669" s="18"/>
      <c r="D669" s="6"/>
    </row>
    <row r="670" spans="2:4" ht="16.5" customHeight="1">
      <c r="B670" s="208"/>
      <c r="C670" s="18"/>
      <c r="D670" s="6"/>
    </row>
    <row r="671" spans="2:4" ht="16.5" customHeight="1">
      <c r="B671" s="208"/>
      <c r="C671" s="18"/>
      <c r="D671" s="6"/>
    </row>
    <row r="672" spans="2:4" ht="16.5" customHeight="1">
      <c r="B672" s="208"/>
      <c r="C672" s="18"/>
      <c r="D672" s="6"/>
    </row>
    <row r="673" spans="2:4" ht="16.5" customHeight="1">
      <c r="B673" s="208"/>
      <c r="C673" s="18"/>
      <c r="D673" s="6"/>
    </row>
    <row r="674" spans="2:4" ht="16.5" customHeight="1">
      <c r="B674" s="208"/>
      <c r="C674" s="18"/>
      <c r="D674" s="6"/>
    </row>
    <row r="675" spans="2:4" ht="16.5" customHeight="1">
      <c r="B675" s="208"/>
      <c r="C675" s="18"/>
      <c r="D675" s="6"/>
    </row>
    <row r="676" spans="2:4" ht="16.5" customHeight="1">
      <c r="B676" s="208"/>
      <c r="C676" s="18"/>
      <c r="D676" s="6"/>
    </row>
    <row r="677" spans="2:4" ht="16.5" customHeight="1">
      <c r="B677" s="208"/>
      <c r="C677" s="18"/>
      <c r="D677" s="6"/>
    </row>
    <row r="678" spans="2:4" ht="16.5" customHeight="1">
      <c r="B678" s="208"/>
      <c r="C678" s="18"/>
      <c r="D678" s="6"/>
    </row>
    <row r="679" spans="2:4" ht="16.5" customHeight="1">
      <c r="B679" s="208"/>
      <c r="C679" s="18"/>
      <c r="D679" s="6"/>
    </row>
    <row r="680" spans="2:4" ht="16.5" customHeight="1">
      <c r="B680" s="208"/>
      <c r="C680" s="18"/>
      <c r="D680" s="6"/>
    </row>
    <row r="681" spans="2:4" ht="16.5" customHeight="1">
      <c r="B681" s="208"/>
      <c r="C681" s="18"/>
      <c r="D681" s="6"/>
    </row>
    <row r="682" spans="2:4" ht="16.5" customHeight="1">
      <c r="B682" s="208"/>
      <c r="C682" s="18"/>
      <c r="D682" s="6"/>
    </row>
    <row r="683" spans="2:4" ht="16.5" customHeight="1">
      <c r="B683" s="208"/>
      <c r="C683" s="18"/>
      <c r="D683" s="6"/>
    </row>
    <row r="684" spans="2:4" ht="16.5" customHeight="1">
      <c r="B684" s="208"/>
      <c r="C684" s="18"/>
      <c r="D684" s="6"/>
    </row>
    <row r="685" spans="2:4" ht="16.5" customHeight="1">
      <c r="B685" s="208"/>
      <c r="C685" s="18"/>
      <c r="D685" s="6"/>
    </row>
    <row r="686" spans="2:4" ht="16.5" customHeight="1">
      <c r="B686" s="208"/>
      <c r="C686" s="18"/>
      <c r="D686" s="6"/>
    </row>
    <row r="687" spans="2:4" ht="16.5" customHeight="1">
      <c r="B687" s="208"/>
      <c r="C687" s="18"/>
      <c r="D687" s="6"/>
    </row>
    <row r="688" spans="2:4" ht="16.5" customHeight="1">
      <c r="B688" s="208"/>
      <c r="C688" s="18"/>
      <c r="D688" s="6"/>
    </row>
    <row r="689" spans="2:4" ht="16.5" customHeight="1">
      <c r="B689" s="208"/>
      <c r="C689" s="18"/>
      <c r="D689" s="6"/>
    </row>
    <row r="690" spans="2:4" ht="16.5" customHeight="1">
      <c r="B690" s="208"/>
      <c r="C690" s="18"/>
      <c r="D690" s="6"/>
    </row>
    <row r="691" spans="2:4" ht="16.5" customHeight="1">
      <c r="B691" s="208"/>
      <c r="C691" s="18"/>
      <c r="D691" s="6"/>
    </row>
    <row r="692" spans="2:4" ht="16.5" customHeight="1">
      <c r="B692" s="208"/>
      <c r="C692" s="18"/>
      <c r="D692" s="6"/>
    </row>
    <row r="693" spans="2:4" ht="16.5" customHeight="1">
      <c r="B693" s="208"/>
      <c r="C693" s="18"/>
      <c r="D693" s="6"/>
    </row>
    <row r="694" spans="2:4" ht="16.5" customHeight="1">
      <c r="B694" s="208"/>
      <c r="C694" s="18"/>
      <c r="D694" s="6"/>
    </row>
    <row r="695" spans="2:4" ht="16.5" customHeight="1">
      <c r="B695" s="208"/>
      <c r="C695" s="18"/>
      <c r="D695" s="6"/>
    </row>
    <row r="696" spans="2:4" ht="16.5" customHeight="1">
      <c r="B696" s="208"/>
      <c r="C696" s="18"/>
      <c r="D696" s="6"/>
    </row>
    <row r="697" spans="2:4" ht="16.5" customHeight="1">
      <c r="B697" s="208"/>
      <c r="C697" s="18"/>
      <c r="D697" s="6"/>
    </row>
    <row r="698" spans="2:4" ht="16.5" customHeight="1">
      <c r="B698" s="208"/>
      <c r="C698" s="18"/>
      <c r="D698" s="6"/>
    </row>
    <row r="699" spans="2:4" ht="16.5" customHeight="1">
      <c r="B699" s="208"/>
      <c r="C699" s="18"/>
      <c r="D699" s="6"/>
    </row>
    <row r="700" spans="2:4" ht="16.5" customHeight="1">
      <c r="B700" s="208"/>
      <c r="C700" s="18"/>
      <c r="D700" s="6"/>
    </row>
    <row r="701" spans="2:4" ht="16.5" customHeight="1">
      <c r="B701" s="208"/>
      <c r="C701" s="18"/>
      <c r="D701" s="6"/>
    </row>
    <row r="702" spans="2:4" ht="16.5" customHeight="1">
      <c r="B702" s="208"/>
      <c r="C702" s="18"/>
      <c r="D702" s="6"/>
    </row>
    <row r="703" spans="2:4" ht="16.5" customHeight="1">
      <c r="B703" s="208"/>
      <c r="C703" s="18"/>
      <c r="D703" s="6"/>
    </row>
    <row r="704" spans="2:4" ht="16.5" customHeight="1">
      <c r="B704" s="208"/>
      <c r="C704" s="18"/>
      <c r="D704" s="6"/>
    </row>
    <row r="705" spans="2:4" ht="16.5" customHeight="1">
      <c r="B705" s="208"/>
      <c r="C705" s="18"/>
      <c r="D705" s="6"/>
    </row>
    <row r="706" spans="2:4" ht="16.5" customHeight="1">
      <c r="B706" s="208"/>
      <c r="C706" s="18"/>
      <c r="D706" s="6"/>
    </row>
    <row r="707" spans="2:4" ht="16.5" customHeight="1">
      <c r="B707" s="208"/>
      <c r="C707" s="18"/>
      <c r="D707" s="6"/>
    </row>
    <row r="708" spans="2:4" ht="16.5" customHeight="1">
      <c r="B708" s="208"/>
      <c r="C708" s="18"/>
      <c r="D708" s="6"/>
    </row>
    <row r="709" spans="2:4" ht="16.5" customHeight="1">
      <c r="B709" s="208"/>
      <c r="C709" s="18"/>
      <c r="D709" s="6"/>
    </row>
    <row r="710" spans="2:4" ht="16.5" customHeight="1">
      <c r="B710" s="208"/>
      <c r="C710" s="18"/>
      <c r="D710" s="6"/>
    </row>
    <row r="711" spans="2:4" ht="16.5" customHeight="1">
      <c r="B711" s="208"/>
      <c r="C711" s="18"/>
      <c r="D711" s="6"/>
    </row>
    <row r="712" spans="2:4" ht="16.5" customHeight="1">
      <c r="B712" s="208"/>
      <c r="C712" s="18"/>
      <c r="D712" s="6"/>
    </row>
    <row r="713" spans="2:4" ht="16.5" customHeight="1">
      <c r="B713" s="208"/>
      <c r="C713" s="18"/>
      <c r="D713" s="6"/>
    </row>
    <row r="714" spans="2:4" ht="16.5" customHeight="1">
      <c r="B714" s="208"/>
      <c r="C714" s="18"/>
      <c r="D714" s="6"/>
    </row>
    <row r="715" spans="2:4" ht="16.5" customHeight="1">
      <c r="B715" s="208"/>
      <c r="C715" s="18"/>
      <c r="D715" s="6"/>
    </row>
    <row r="716" spans="2:4" ht="16.5" customHeight="1">
      <c r="B716" s="208"/>
      <c r="C716" s="18"/>
      <c r="D716" s="6"/>
    </row>
    <row r="717" spans="2:4" ht="16.5" customHeight="1">
      <c r="B717" s="208"/>
      <c r="C717" s="18"/>
      <c r="D717" s="6"/>
    </row>
    <row r="718" spans="2:4" ht="16.5" customHeight="1">
      <c r="B718" s="208"/>
      <c r="C718" s="18"/>
      <c r="D718" s="6"/>
    </row>
    <row r="719" spans="2:4" ht="16.5" customHeight="1">
      <c r="B719" s="208"/>
      <c r="C719" s="18"/>
      <c r="D719" s="6"/>
    </row>
    <row r="720" spans="2:4" ht="16.5" customHeight="1">
      <c r="B720" s="208"/>
      <c r="C720" s="18"/>
      <c r="D720" s="6"/>
    </row>
    <row r="721" spans="2:4" ht="16.5" customHeight="1">
      <c r="B721" s="208"/>
      <c r="C721" s="18"/>
      <c r="D721" s="6"/>
    </row>
    <row r="722" spans="2:4" ht="16.5" customHeight="1">
      <c r="B722" s="208"/>
      <c r="C722" s="18"/>
      <c r="D722" s="6"/>
    </row>
    <row r="723" spans="2:4" ht="16.5" customHeight="1">
      <c r="B723" s="208"/>
      <c r="C723" s="18"/>
      <c r="D723" s="6"/>
    </row>
    <row r="724" spans="2:4" ht="16.5" customHeight="1">
      <c r="B724" s="208"/>
      <c r="C724" s="18"/>
      <c r="D724" s="6"/>
    </row>
    <row r="725" spans="2:4" ht="16.5" customHeight="1">
      <c r="B725" s="208"/>
      <c r="C725" s="18"/>
      <c r="D725" s="6"/>
    </row>
    <row r="726" spans="2:4" ht="16.5" customHeight="1">
      <c r="B726" s="208"/>
      <c r="C726" s="18"/>
      <c r="D726" s="6"/>
    </row>
    <row r="727" spans="2:4" ht="16.5" customHeight="1">
      <c r="B727" s="208"/>
      <c r="C727" s="18"/>
      <c r="D727" s="6"/>
    </row>
    <row r="728" spans="2:4" ht="16.5" customHeight="1">
      <c r="B728" s="208"/>
      <c r="C728" s="18"/>
      <c r="D728" s="6"/>
    </row>
    <row r="729" spans="2:4" ht="16.5" customHeight="1">
      <c r="B729" s="208"/>
      <c r="C729" s="18"/>
      <c r="D729" s="6"/>
    </row>
    <row r="730" spans="2:4" ht="16.5" customHeight="1">
      <c r="B730" s="208"/>
      <c r="C730" s="18"/>
      <c r="D730" s="6"/>
    </row>
    <row r="731" spans="2:4" ht="16.5" customHeight="1">
      <c r="B731" s="208"/>
      <c r="C731" s="18"/>
      <c r="D731" s="6"/>
    </row>
    <row r="732" spans="2:4" ht="16.5" customHeight="1">
      <c r="B732" s="208"/>
      <c r="C732" s="18"/>
      <c r="D732" s="6"/>
    </row>
    <row r="733" spans="2:4" ht="16.5" customHeight="1">
      <c r="B733" s="208"/>
      <c r="C733" s="18"/>
      <c r="D733" s="6"/>
    </row>
    <row r="734" spans="2:4" ht="16.5" customHeight="1">
      <c r="B734" s="208"/>
      <c r="C734" s="18"/>
      <c r="D734" s="6"/>
    </row>
    <row r="735" spans="2:4" ht="16.5" customHeight="1">
      <c r="B735" s="208"/>
      <c r="C735" s="18"/>
      <c r="D735" s="6"/>
    </row>
    <row r="736" spans="2:4" ht="16.5" customHeight="1">
      <c r="B736" s="208"/>
      <c r="C736" s="18"/>
      <c r="D736" s="6"/>
    </row>
    <row r="737" spans="2:4" ht="16.5" customHeight="1">
      <c r="B737" s="208"/>
      <c r="C737" s="18"/>
      <c r="D737" s="6"/>
    </row>
    <row r="738" spans="2:4" ht="16.5" customHeight="1">
      <c r="B738" s="208"/>
      <c r="C738" s="18"/>
      <c r="D738" s="6"/>
    </row>
    <row r="739" spans="2:4" ht="16.5" customHeight="1">
      <c r="B739" s="208"/>
      <c r="C739" s="18"/>
      <c r="D739" s="6"/>
    </row>
    <row r="740" spans="2:4" ht="16.5" customHeight="1">
      <c r="B740" s="208"/>
      <c r="C740" s="18"/>
      <c r="D740" s="6"/>
    </row>
    <row r="741" spans="2:4" ht="16.5" customHeight="1">
      <c r="B741" s="208"/>
      <c r="C741" s="18"/>
      <c r="D741" s="6"/>
    </row>
    <row r="742" spans="2:4" ht="16.5" customHeight="1">
      <c r="B742" s="208"/>
      <c r="C742" s="18"/>
      <c r="D742" s="6"/>
    </row>
    <row r="743" spans="2:4" ht="16.5" customHeight="1">
      <c r="B743" s="208"/>
      <c r="C743" s="18"/>
      <c r="D743" s="6"/>
    </row>
    <row r="744" spans="2:4" ht="16.5" customHeight="1">
      <c r="B744" s="208"/>
      <c r="C744" s="18"/>
      <c r="D744" s="6"/>
    </row>
    <row r="745" spans="2:4" ht="16.5" customHeight="1">
      <c r="B745" s="208"/>
      <c r="C745" s="18"/>
      <c r="D745" s="6"/>
    </row>
    <row r="746" spans="2:4" ht="16.5" customHeight="1">
      <c r="B746" s="208"/>
      <c r="C746" s="18"/>
      <c r="D746" s="6"/>
    </row>
    <row r="747" spans="2:4" ht="16.5" customHeight="1">
      <c r="B747" s="208"/>
      <c r="C747" s="18"/>
      <c r="D747" s="6"/>
    </row>
    <row r="748" spans="2:4" ht="16.5" customHeight="1">
      <c r="B748" s="208"/>
      <c r="C748" s="18"/>
      <c r="D748" s="6"/>
    </row>
    <row r="749" spans="2:4" ht="16.5" customHeight="1">
      <c r="B749" s="208"/>
      <c r="C749" s="18"/>
      <c r="D749" s="6"/>
    </row>
    <row r="750" spans="2:4" ht="16.5" customHeight="1">
      <c r="B750" s="208"/>
      <c r="C750" s="18"/>
      <c r="D750" s="6"/>
    </row>
    <row r="751" spans="2:4" ht="16.5" customHeight="1">
      <c r="B751" s="208"/>
      <c r="C751" s="18"/>
      <c r="D751" s="6"/>
    </row>
    <row r="752" spans="2:4" ht="16.5" customHeight="1">
      <c r="B752" s="208"/>
      <c r="C752" s="18"/>
      <c r="D752" s="6"/>
    </row>
    <row r="753" spans="2:4" ht="16.5" customHeight="1">
      <c r="B753" s="208"/>
      <c r="C753" s="18"/>
      <c r="D753" s="6"/>
    </row>
    <row r="754" spans="2:4" ht="16.5" customHeight="1">
      <c r="B754" s="208"/>
      <c r="C754" s="18"/>
      <c r="D754" s="6"/>
    </row>
    <row r="755" spans="2:4" ht="16.5" customHeight="1">
      <c r="B755" s="208"/>
      <c r="C755" s="18"/>
      <c r="D755" s="6"/>
    </row>
    <row r="756" spans="2:4" ht="16.5" customHeight="1">
      <c r="B756" s="208"/>
      <c r="C756" s="18"/>
      <c r="D756" s="6"/>
    </row>
    <row r="757" spans="2:4" ht="16.5" customHeight="1">
      <c r="B757" s="208"/>
      <c r="C757" s="18"/>
      <c r="D757" s="6"/>
    </row>
    <row r="758" spans="2:4" ht="16.5" customHeight="1">
      <c r="B758" s="208"/>
      <c r="C758" s="18"/>
      <c r="D758" s="6"/>
    </row>
    <row r="759" spans="2:4" ht="16.5" customHeight="1">
      <c r="B759" s="208"/>
      <c r="C759" s="18"/>
      <c r="D759" s="6"/>
    </row>
    <row r="760" spans="2:4" ht="16.5" customHeight="1">
      <c r="B760" s="208"/>
      <c r="C760" s="18"/>
      <c r="D760" s="6"/>
    </row>
    <row r="761" spans="2:4" ht="16.5" customHeight="1">
      <c r="B761" s="208"/>
      <c r="C761" s="18"/>
      <c r="D761" s="6"/>
    </row>
    <row r="762" spans="2:4" ht="16.5" customHeight="1">
      <c r="B762" s="208"/>
      <c r="C762" s="18"/>
      <c r="D762" s="6"/>
    </row>
    <row r="763" spans="2:4" ht="16.5" customHeight="1">
      <c r="B763" s="208"/>
      <c r="C763" s="18"/>
      <c r="D763" s="6"/>
    </row>
    <row r="764" spans="2:4" ht="16.5" customHeight="1">
      <c r="B764" s="208"/>
      <c r="C764" s="18"/>
      <c r="D764" s="6"/>
    </row>
    <row r="765" spans="2:4" ht="16.5" customHeight="1">
      <c r="B765" s="208"/>
      <c r="C765" s="18"/>
      <c r="D765" s="6"/>
    </row>
    <row r="766" spans="2:4" ht="16.5" customHeight="1">
      <c r="B766" s="208"/>
      <c r="C766" s="18"/>
      <c r="D766" s="6"/>
    </row>
    <row r="767" spans="2:4" ht="16.5" customHeight="1">
      <c r="B767" s="208"/>
      <c r="C767" s="18"/>
      <c r="D767" s="6"/>
    </row>
    <row r="768" spans="2:4" ht="16.5" customHeight="1">
      <c r="B768" s="208"/>
      <c r="C768" s="18"/>
      <c r="D768" s="6"/>
    </row>
    <row r="769" spans="2:4" ht="16.5" customHeight="1">
      <c r="B769" s="208"/>
      <c r="C769" s="18"/>
      <c r="D769" s="6"/>
    </row>
    <row r="770" spans="2:4" ht="16.5" customHeight="1">
      <c r="B770" s="208"/>
      <c r="C770" s="18"/>
      <c r="D770" s="6"/>
    </row>
    <row r="771" spans="2:4" ht="16.5" customHeight="1">
      <c r="B771" s="208"/>
      <c r="C771" s="18"/>
      <c r="D771" s="6"/>
    </row>
    <row r="772" spans="2:4" ht="16.5" customHeight="1">
      <c r="B772" s="208"/>
      <c r="C772" s="18"/>
      <c r="D772" s="6"/>
    </row>
    <row r="773" spans="2:4" ht="16.5" customHeight="1">
      <c r="B773" s="208"/>
      <c r="C773" s="18"/>
      <c r="D773" s="6"/>
    </row>
    <row r="774" spans="2:4" ht="16.5" customHeight="1">
      <c r="B774" s="208"/>
      <c r="C774" s="18"/>
      <c r="D774" s="6"/>
    </row>
    <row r="775" spans="2:4" ht="16.5" customHeight="1">
      <c r="B775" s="208"/>
      <c r="C775" s="18"/>
      <c r="D775" s="6"/>
    </row>
    <row r="776" spans="2:4" ht="16.5" customHeight="1">
      <c r="B776" s="208"/>
      <c r="C776" s="18"/>
      <c r="D776" s="6"/>
    </row>
    <row r="777" spans="2:4" ht="16.5" customHeight="1">
      <c r="B777" s="208"/>
      <c r="C777" s="18"/>
      <c r="D777" s="6"/>
    </row>
    <row r="778" spans="2:4" ht="16.5" customHeight="1">
      <c r="B778" s="208"/>
      <c r="C778" s="18"/>
      <c r="D778" s="6"/>
    </row>
    <row r="779" spans="2:4" ht="16.5" customHeight="1">
      <c r="B779" s="208"/>
      <c r="C779" s="18"/>
      <c r="D779" s="6"/>
    </row>
    <row r="780" spans="2:4" ht="16.5" customHeight="1">
      <c r="B780" s="208"/>
      <c r="C780" s="18"/>
      <c r="D780" s="6"/>
    </row>
    <row r="781" spans="2:4" ht="16.5" customHeight="1">
      <c r="B781" s="208"/>
      <c r="C781" s="18"/>
      <c r="D781" s="6"/>
    </row>
    <row r="782" spans="2:4" ht="16.5" customHeight="1">
      <c r="B782" s="208"/>
      <c r="C782" s="18"/>
      <c r="D782" s="6"/>
    </row>
    <row r="783" spans="2:4" ht="16.5" customHeight="1">
      <c r="B783" s="208"/>
      <c r="C783" s="18"/>
      <c r="D783" s="6"/>
    </row>
    <row r="784" spans="2:4" ht="16.5" customHeight="1">
      <c r="B784" s="208"/>
      <c r="C784" s="18"/>
      <c r="D784" s="6"/>
    </row>
    <row r="785" spans="2:4" ht="16.5" customHeight="1">
      <c r="B785" s="208"/>
      <c r="C785" s="18"/>
      <c r="D785" s="6"/>
    </row>
    <row r="786" spans="2:4" ht="16.5" customHeight="1">
      <c r="B786" s="208"/>
      <c r="C786" s="18"/>
      <c r="D786" s="6"/>
    </row>
    <row r="787" spans="2:4" ht="16.5" customHeight="1">
      <c r="B787" s="208"/>
      <c r="C787" s="18"/>
      <c r="D787" s="6"/>
    </row>
    <row r="788" spans="2:4" ht="16.5" customHeight="1">
      <c r="B788" s="208"/>
      <c r="C788" s="18"/>
      <c r="D788" s="6"/>
    </row>
    <row r="789" spans="2:4" ht="16.5" customHeight="1">
      <c r="B789" s="208"/>
      <c r="C789" s="18"/>
      <c r="D789" s="6"/>
    </row>
    <row r="790" spans="2:4" ht="16.5" customHeight="1">
      <c r="B790" s="208"/>
      <c r="C790" s="18"/>
      <c r="D790" s="6"/>
    </row>
    <row r="791" spans="2:4" ht="16.5" customHeight="1">
      <c r="B791" s="208"/>
      <c r="C791" s="18"/>
      <c r="D791" s="6"/>
    </row>
    <row r="792" spans="2:4" ht="16.5" customHeight="1">
      <c r="B792" s="208"/>
      <c r="C792" s="18"/>
      <c r="D792" s="6"/>
    </row>
    <row r="793" spans="2:4" ht="16.5" customHeight="1">
      <c r="B793" s="208"/>
      <c r="C793" s="18"/>
      <c r="D793" s="6"/>
    </row>
    <row r="794" spans="2:4" ht="16.5" customHeight="1">
      <c r="B794" s="208"/>
      <c r="C794" s="18"/>
      <c r="D794" s="6"/>
    </row>
    <row r="795" spans="2:4" ht="16.5" customHeight="1">
      <c r="B795" s="208"/>
      <c r="C795" s="18"/>
      <c r="D795" s="6"/>
    </row>
    <row r="796" spans="2:4" ht="16.5" customHeight="1">
      <c r="B796" s="208"/>
      <c r="C796" s="18"/>
      <c r="D796" s="6"/>
    </row>
    <row r="797" spans="2:4" ht="16.5" customHeight="1">
      <c r="B797" s="208"/>
      <c r="C797" s="18"/>
      <c r="D797" s="6"/>
    </row>
    <row r="798" spans="2:4" ht="16.5" customHeight="1">
      <c r="B798" s="208"/>
      <c r="C798" s="18"/>
      <c r="D798" s="6"/>
    </row>
    <row r="799" spans="2:4" ht="16.5" customHeight="1">
      <c r="B799" s="208"/>
      <c r="C799" s="18"/>
      <c r="D799" s="6"/>
    </row>
    <row r="800" spans="2:4" ht="16.5" customHeight="1">
      <c r="B800" s="208"/>
      <c r="C800" s="18"/>
      <c r="D800" s="6"/>
    </row>
    <row r="801" spans="2:4" ht="16.5" customHeight="1">
      <c r="B801" s="208"/>
      <c r="C801" s="18"/>
      <c r="D801" s="6"/>
    </row>
    <row r="802" spans="2:4" ht="16.5" customHeight="1">
      <c r="B802" s="208"/>
      <c r="C802" s="18"/>
      <c r="D802" s="6"/>
    </row>
    <row r="803" spans="2:4" ht="16.5" customHeight="1">
      <c r="B803" s="208"/>
      <c r="C803" s="18"/>
      <c r="D803" s="6"/>
    </row>
    <row r="804" spans="2:4" ht="16.5" customHeight="1">
      <c r="B804" s="208"/>
      <c r="C804" s="18"/>
      <c r="D804" s="6"/>
    </row>
    <row r="805" spans="2:4" ht="16.5" customHeight="1">
      <c r="B805" s="208"/>
      <c r="C805" s="18"/>
      <c r="D805" s="6"/>
    </row>
    <row r="806" spans="2:4" ht="16.5" customHeight="1">
      <c r="B806" s="208"/>
      <c r="C806" s="18"/>
      <c r="D806" s="6"/>
    </row>
    <row r="807" spans="2:4" ht="16.5" customHeight="1">
      <c r="B807" s="208"/>
      <c r="C807" s="18"/>
      <c r="D807" s="6"/>
    </row>
    <row r="808" spans="2:4" ht="16.5" customHeight="1">
      <c r="B808" s="208"/>
      <c r="C808" s="18"/>
      <c r="D808" s="6"/>
    </row>
    <row r="809" spans="2:4" ht="16.5" customHeight="1">
      <c r="B809" s="208"/>
      <c r="C809" s="18"/>
      <c r="D809" s="6"/>
    </row>
    <row r="810" spans="2:4" ht="16.5" customHeight="1">
      <c r="B810" s="208"/>
      <c r="C810" s="18"/>
      <c r="D810" s="6"/>
    </row>
    <row r="811" spans="2:4" ht="16.5" customHeight="1">
      <c r="B811" s="208"/>
      <c r="C811" s="18"/>
      <c r="D811" s="6"/>
    </row>
    <row r="812" spans="2:4" ht="16.5" customHeight="1">
      <c r="B812" s="208"/>
      <c r="C812" s="18"/>
      <c r="D812" s="6"/>
    </row>
    <row r="813" spans="2:4" ht="16.5" customHeight="1">
      <c r="B813" s="208"/>
      <c r="C813" s="18"/>
      <c r="D813" s="6"/>
    </row>
    <row r="814" spans="2:4" ht="16.5" customHeight="1">
      <c r="B814" s="208"/>
      <c r="C814" s="18"/>
      <c r="D814" s="6"/>
    </row>
    <row r="815" spans="2:4" ht="16.5" customHeight="1">
      <c r="B815" s="208"/>
      <c r="C815" s="18"/>
      <c r="D815" s="6"/>
    </row>
    <row r="816" spans="2:4" ht="16.5" customHeight="1">
      <c r="B816" s="208"/>
      <c r="C816" s="18"/>
      <c r="D816" s="6"/>
    </row>
    <row r="817" spans="2:4" ht="16.5" customHeight="1">
      <c r="B817" s="208"/>
      <c r="C817" s="18"/>
      <c r="D817" s="6"/>
    </row>
    <row r="818" spans="2:4" ht="16.5" customHeight="1">
      <c r="B818" s="208"/>
      <c r="C818" s="18"/>
      <c r="D818" s="6"/>
    </row>
    <row r="819" spans="2:4" ht="16.5" customHeight="1">
      <c r="B819" s="208"/>
      <c r="C819" s="18"/>
      <c r="D819" s="6"/>
    </row>
    <row r="820" spans="2:4" ht="16.5" customHeight="1">
      <c r="B820" s="208"/>
      <c r="C820" s="18"/>
      <c r="D820" s="6"/>
    </row>
    <row r="821" spans="2:4" ht="16.5" customHeight="1">
      <c r="B821" s="208"/>
      <c r="C821" s="18"/>
      <c r="D821" s="6"/>
    </row>
    <row r="822" spans="2:4" ht="16.5" customHeight="1">
      <c r="B822" s="208"/>
      <c r="C822" s="18"/>
      <c r="D822" s="6"/>
    </row>
    <row r="823" spans="2:4" ht="16.5" customHeight="1">
      <c r="B823" s="208"/>
      <c r="C823" s="18"/>
      <c r="D823" s="6"/>
    </row>
    <row r="824" spans="2:4" ht="16.5" customHeight="1">
      <c r="B824" s="208"/>
      <c r="C824" s="18"/>
      <c r="D824" s="6"/>
    </row>
    <row r="825" spans="2:4" ht="16.5" customHeight="1">
      <c r="B825" s="208"/>
      <c r="C825" s="18"/>
      <c r="D825" s="6"/>
    </row>
    <row r="826" spans="2:4" ht="16.5" customHeight="1">
      <c r="B826" s="208"/>
      <c r="C826" s="18"/>
      <c r="D826" s="6"/>
    </row>
    <row r="827" spans="2:4" ht="16.5" customHeight="1">
      <c r="B827" s="208"/>
      <c r="C827" s="18"/>
      <c r="D827" s="6"/>
    </row>
    <row r="828" spans="2:4" ht="16.5" customHeight="1">
      <c r="B828" s="208"/>
      <c r="C828" s="18"/>
      <c r="D828" s="6"/>
    </row>
    <row r="829" spans="2:4" ht="16.5" customHeight="1">
      <c r="B829" s="208"/>
      <c r="C829" s="18"/>
      <c r="D829" s="6"/>
    </row>
    <row r="830" spans="2:4" ht="16.5" customHeight="1">
      <c r="B830" s="208"/>
      <c r="C830" s="18"/>
      <c r="D830" s="6"/>
    </row>
    <row r="831" spans="2:4" ht="16.5" customHeight="1">
      <c r="B831" s="208"/>
      <c r="C831" s="18"/>
      <c r="D831" s="6"/>
    </row>
    <row r="832" spans="2:4" ht="16.5" customHeight="1">
      <c r="B832" s="208"/>
      <c r="C832" s="18"/>
      <c r="D832" s="6"/>
    </row>
    <row r="833" spans="2:4" ht="16.5" customHeight="1">
      <c r="B833" s="208"/>
      <c r="C833" s="18"/>
      <c r="D833" s="6"/>
    </row>
    <row r="834" spans="2:4" ht="16.5" customHeight="1">
      <c r="B834" s="208"/>
      <c r="C834" s="18"/>
      <c r="D834" s="6"/>
    </row>
    <row r="835" spans="2:4" ht="16.5" customHeight="1">
      <c r="B835" s="208"/>
      <c r="C835" s="18"/>
      <c r="D835" s="6"/>
    </row>
    <row r="836" spans="2:4" ht="16.5" customHeight="1">
      <c r="B836" s="208"/>
      <c r="C836" s="18"/>
      <c r="D836" s="6"/>
    </row>
    <row r="837" spans="2:4" ht="16.5" customHeight="1">
      <c r="B837" s="208"/>
      <c r="C837" s="18"/>
      <c r="D837" s="6"/>
    </row>
    <row r="838" spans="2:4" ht="16.5" customHeight="1">
      <c r="B838" s="208"/>
      <c r="C838" s="18"/>
      <c r="D838" s="6"/>
    </row>
  </sheetData>
  <sheetProtection/>
  <mergeCells count="7">
    <mergeCell ref="A3:D3"/>
    <mergeCell ref="A52:D52"/>
    <mergeCell ref="A53:D53"/>
    <mergeCell ref="A1:D1"/>
    <mergeCell ref="A2:D2"/>
    <mergeCell ref="A44:D44"/>
    <mergeCell ref="A45:D45"/>
  </mergeCells>
  <printOptions/>
  <pageMargins left="0.3937007874015748" right="0" top="0" bottom="0" header="0" footer="0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119"/>
  <sheetViews>
    <sheetView view="pageBreakPreview" zoomScaleSheetLayoutView="100" zoomScalePageLayoutView="0" workbookViewId="0" topLeftCell="A70">
      <selection activeCell="F18" sqref="F18"/>
    </sheetView>
  </sheetViews>
  <sheetFormatPr defaultColWidth="9.140625" defaultRowHeight="12.75"/>
  <cols>
    <col min="1" max="1" width="12.421875" style="111" customWidth="1"/>
    <col min="2" max="2" width="7.7109375" style="124" customWidth="1"/>
    <col min="3" max="3" width="7.57421875" style="124" customWidth="1"/>
    <col min="4" max="4" width="7.7109375" style="124" customWidth="1"/>
    <col min="5" max="6" width="7.421875" style="124" customWidth="1"/>
    <col min="7" max="7" width="7.57421875" style="124" customWidth="1"/>
    <col min="8" max="9" width="7.421875" style="124" customWidth="1"/>
    <col min="10" max="10" width="7.28125" style="124" customWidth="1"/>
    <col min="11" max="11" width="7.140625" style="124" customWidth="1"/>
    <col min="12" max="12" width="7.421875" style="124" customWidth="1"/>
    <col min="13" max="13" width="7.140625" style="124" customWidth="1"/>
    <col min="14" max="14" width="7.421875" style="124" customWidth="1"/>
    <col min="15" max="15" width="7.57421875" style="124" customWidth="1"/>
    <col min="16" max="16" width="7.421875" style="104" customWidth="1"/>
    <col min="17" max="17" width="7.57421875" style="104" customWidth="1"/>
    <col min="18" max="18" width="9.7109375" style="104" customWidth="1"/>
    <col min="19" max="16384" width="9.140625" style="105" customWidth="1"/>
  </cols>
  <sheetData>
    <row r="1" spans="1:18" ht="16.5">
      <c r="A1" s="325" t="s">
        <v>100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</row>
    <row r="2" spans="1:18" ht="16.5">
      <c r="A2" s="325" t="s">
        <v>315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</row>
    <row r="3" spans="1:18" ht="16.5">
      <c r="A3" s="326" t="s">
        <v>475</v>
      </c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6"/>
      <c r="Q3" s="326"/>
      <c r="R3" s="326"/>
    </row>
    <row r="4" s="168" customFormat="1" ht="14.25">
      <c r="Q4" s="249"/>
    </row>
    <row r="5" spans="1:18" s="107" customFormat="1" ht="14.25">
      <c r="A5" s="108" t="s">
        <v>125</v>
      </c>
      <c r="B5" s="323" t="s">
        <v>101</v>
      </c>
      <c r="C5" s="324" t="s">
        <v>102</v>
      </c>
      <c r="D5" s="324"/>
      <c r="E5" s="324"/>
      <c r="F5" s="130" t="s">
        <v>103</v>
      </c>
      <c r="G5" s="324" t="s">
        <v>104</v>
      </c>
      <c r="H5" s="324"/>
      <c r="I5" s="324" t="s">
        <v>105</v>
      </c>
      <c r="J5" s="324"/>
      <c r="K5" s="130" t="s">
        <v>106</v>
      </c>
      <c r="L5" s="324" t="s">
        <v>107</v>
      </c>
      <c r="M5" s="324"/>
      <c r="N5" s="324" t="s">
        <v>108</v>
      </c>
      <c r="O5" s="324"/>
      <c r="P5" s="327" t="s">
        <v>123</v>
      </c>
      <c r="Q5" s="328"/>
      <c r="R5" s="329" t="s">
        <v>20</v>
      </c>
    </row>
    <row r="6" spans="1:18" s="107" customFormat="1" ht="14.25">
      <c r="A6" s="109" t="s">
        <v>126</v>
      </c>
      <c r="B6" s="323"/>
      <c r="C6" s="130" t="s">
        <v>109</v>
      </c>
      <c r="D6" s="130" t="s">
        <v>121</v>
      </c>
      <c r="E6" s="130" t="s">
        <v>110</v>
      </c>
      <c r="F6" s="130" t="s">
        <v>111</v>
      </c>
      <c r="G6" s="130" t="s">
        <v>112</v>
      </c>
      <c r="H6" s="130" t="s">
        <v>113</v>
      </c>
      <c r="I6" s="130" t="s">
        <v>114</v>
      </c>
      <c r="J6" s="130" t="s">
        <v>115</v>
      </c>
      <c r="K6" s="130" t="s">
        <v>122</v>
      </c>
      <c r="L6" s="130" t="s">
        <v>116</v>
      </c>
      <c r="M6" s="130" t="s">
        <v>117</v>
      </c>
      <c r="N6" s="130" t="s">
        <v>118</v>
      </c>
      <c r="O6" s="130" t="s">
        <v>119</v>
      </c>
      <c r="P6" s="130" t="s">
        <v>367</v>
      </c>
      <c r="Q6" s="250" t="s">
        <v>124</v>
      </c>
      <c r="R6" s="330"/>
    </row>
    <row r="7" spans="1:18" ht="14.25">
      <c r="A7" s="131" t="s">
        <v>296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</row>
    <row r="8" spans="1:18" ht="14.25">
      <c r="A8" s="132" t="s">
        <v>297</v>
      </c>
      <c r="B8" s="110">
        <f>6540+480+720+4388</f>
        <v>12128</v>
      </c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>
        <f>SUM(B8:P8)</f>
        <v>12128</v>
      </c>
    </row>
    <row r="9" spans="1:18" ht="14.25">
      <c r="A9" s="133" t="s">
        <v>298</v>
      </c>
      <c r="B9" s="113">
        <f>1500+1000</f>
        <v>2500</v>
      </c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>
        <f>SUM(B9:Q9)</f>
        <v>2500</v>
      </c>
    </row>
    <row r="10" spans="1:18" ht="14.25">
      <c r="A10" s="133" t="s">
        <v>299</v>
      </c>
      <c r="B10" s="113">
        <f>15000</f>
        <v>15000</v>
      </c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>
        <f>SUM(B10:P10)</f>
        <v>15000</v>
      </c>
    </row>
    <row r="11" spans="1:18" ht="14.25">
      <c r="A11" s="133" t="s">
        <v>300</v>
      </c>
      <c r="B11" s="113">
        <f>100000</f>
        <v>100000</v>
      </c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>
        <f>SUM(B11:P11)</f>
        <v>100000</v>
      </c>
    </row>
    <row r="12" spans="1:18" ht="14.25">
      <c r="A12" s="133" t="s">
        <v>301</v>
      </c>
      <c r="B12" s="129">
        <v>0</v>
      </c>
      <c r="C12" s="241"/>
      <c r="D12" s="241"/>
      <c r="E12" s="241"/>
      <c r="F12" s="241"/>
      <c r="G12" s="241"/>
      <c r="H12" s="241"/>
      <c r="I12" s="241"/>
      <c r="J12" s="241"/>
      <c r="K12" s="241"/>
      <c r="L12" s="241"/>
      <c r="M12" s="241"/>
      <c r="N12" s="241"/>
      <c r="O12" s="241"/>
      <c r="P12" s="241"/>
      <c r="Q12" s="241"/>
      <c r="R12" s="241">
        <f>SUM(B12:Q12)</f>
        <v>0</v>
      </c>
    </row>
    <row r="13" spans="1:18" ht="14.25">
      <c r="A13" s="133" t="s">
        <v>38</v>
      </c>
      <c r="B13" s="115">
        <f>SUM(B8:B12)</f>
        <v>129628</v>
      </c>
      <c r="C13" s="103">
        <v>0</v>
      </c>
      <c r="D13" s="103">
        <v>0</v>
      </c>
      <c r="E13" s="103">
        <v>0</v>
      </c>
      <c r="F13" s="103">
        <v>0</v>
      </c>
      <c r="G13" s="103">
        <v>0</v>
      </c>
      <c r="H13" s="103">
        <v>0</v>
      </c>
      <c r="I13" s="103">
        <v>0</v>
      </c>
      <c r="J13" s="103">
        <v>0</v>
      </c>
      <c r="K13" s="103">
        <v>0</v>
      </c>
      <c r="L13" s="103">
        <v>0</v>
      </c>
      <c r="M13" s="103">
        <v>0</v>
      </c>
      <c r="N13" s="103">
        <v>0</v>
      </c>
      <c r="O13" s="103">
        <v>0</v>
      </c>
      <c r="P13" s="103">
        <v>0</v>
      </c>
      <c r="Q13" s="103"/>
      <c r="R13" s="115">
        <f>SUM(B13:Q13)</f>
        <v>129628</v>
      </c>
    </row>
    <row r="14" spans="1:18" ht="15" thickBot="1">
      <c r="A14" s="134" t="s">
        <v>39</v>
      </c>
      <c r="B14" s="116">
        <f>155395+94960+129628</f>
        <v>379983</v>
      </c>
      <c r="C14" s="103">
        <v>0</v>
      </c>
      <c r="D14" s="103">
        <v>0</v>
      </c>
      <c r="E14" s="103">
        <v>0</v>
      </c>
      <c r="F14" s="103">
        <v>0</v>
      </c>
      <c r="G14" s="103">
        <v>0</v>
      </c>
      <c r="H14" s="103">
        <v>0</v>
      </c>
      <c r="I14" s="103">
        <v>0</v>
      </c>
      <c r="J14" s="103">
        <v>0</v>
      </c>
      <c r="K14" s="103">
        <v>0</v>
      </c>
      <c r="L14" s="103">
        <v>0</v>
      </c>
      <c r="M14" s="103">
        <v>0</v>
      </c>
      <c r="N14" s="103">
        <v>0</v>
      </c>
      <c r="O14" s="103">
        <v>0</v>
      </c>
      <c r="P14" s="103">
        <v>0</v>
      </c>
      <c r="Q14" s="248"/>
      <c r="R14" s="116">
        <f>SUM(B14:P14)</f>
        <v>379983</v>
      </c>
    </row>
    <row r="15" spans="1:18" ht="15" thickTop="1">
      <c r="A15" s="135" t="s">
        <v>302</v>
      </c>
      <c r="B15" s="117"/>
      <c r="C15" s="12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8"/>
      <c r="P15" s="117"/>
      <c r="Q15" s="117"/>
      <c r="R15" s="118"/>
    </row>
    <row r="16" spans="1:18" ht="14.25">
      <c r="A16" s="133" t="s">
        <v>303</v>
      </c>
      <c r="B16" s="119"/>
      <c r="C16" s="113">
        <v>42840</v>
      </c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3"/>
      <c r="P16" s="119"/>
      <c r="Q16" s="119"/>
      <c r="R16" s="113">
        <f aca="true" t="shared" si="0" ref="R16:R23">SUM(C16:P16)</f>
        <v>42840</v>
      </c>
    </row>
    <row r="17" spans="1:18" ht="14.25">
      <c r="A17" s="132" t="s">
        <v>304</v>
      </c>
      <c r="B17" s="120"/>
      <c r="C17" s="120">
        <v>3510</v>
      </c>
      <c r="D17" s="120"/>
      <c r="E17" s="120">
        <v>0</v>
      </c>
      <c r="F17" s="120"/>
      <c r="G17" s="120">
        <v>0</v>
      </c>
      <c r="H17" s="120"/>
      <c r="I17" s="120"/>
      <c r="J17" s="120"/>
      <c r="K17" s="120"/>
      <c r="L17" s="120">
        <v>0</v>
      </c>
      <c r="M17" s="120"/>
      <c r="N17" s="120"/>
      <c r="O17" s="110"/>
      <c r="P17" s="120"/>
      <c r="Q17" s="120"/>
      <c r="R17" s="110">
        <f t="shared" si="0"/>
        <v>3510</v>
      </c>
    </row>
    <row r="18" spans="1:18" ht="14.25">
      <c r="A18" s="133" t="s">
        <v>305</v>
      </c>
      <c r="B18" s="119"/>
      <c r="C18" s="119">
        <v>3510</v>
      </c>
      <c r="D18" s="119"/>
      <c r="E18" s="119">
        <v>0</v>
      </c>
      <c r="F18" s="119"/>
      <c r="G18" s="119">
        <v>0</v>
      </c>
      <c r="H18" s="119"/>
      <c r="I18" s="119"/>
      <c r="J18" s="119"/>
      <c r="K18" s="119"/>
      <c r="L18" s="119">
        <v>0</v>
      </c>
      <c r="M18" s="119"/>
      <c r="N18" s="119"/>
      <c r="O18" s="113"/>
      <c r="P18" s="119"/>
      <c r="Q18" s="119"/>
      <c r="R18" s="113">
        <f t="shared" si="0"/>
        <v>3510</v>
      </c>
    </row>
    <row r="19" spans="1:18" ht="14.25">
      <c r="A19" s="133" t="s">
        <v>306</v>
      </c>
      <c r="B19" s="119"/>
      <c r="C19" s="113">
        <v>7200</v>
      </c>
      <c r="D19" s="119"/>
      <c r="E19" s="119">
        <v>0</v>
      </c>
      <c r="F19" s="119"/>
      <c r="G19" s="119"/>
      <c r="H19" s="119"/>
      <c r="I19" s="119"/>
      <c r="J19" s="119"/>
      <c r="K19" s="119"/>
      <c r="L19" s="119">
        <v>0</v>
      </c>
      <c r="M19" s="119"/>
      <c r="N19" s="119"/>
      <c r="O19" s="113"/>
      <c r="P19" s="119"/>
      <c r="Q19" s="119"/>
      <c r="R19" s="113">
        <f t="shared" si="0"/>
        <v>7200</v>
      </c>
    </row>
    <row r="20" spans="1:18" ht="14.25">
      <c r="A20" s="132" t="s">
        <v>307</v>
      </c>
      <c r="B20" s="120"/>
      <c r="C20" s="120">
        <v>178800</v>
      </c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10"/>
      <c r="P20" s="120"/>
      <c r="Q20" s="120"/>
      <c r="R20" s="110">
        <f t="shared" si="0"/>
        <v>178800</v>
      </c>
    </row>
    <row r="21" spans="1:18" ht="14.25">
      <c r="A21" s="133" t="s">
        <v>308</v>
      </c>
      <c r="B21" s="119"/>
      <c r="C21" s="113">
        <v>7200</v>
      </c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3"/>
      <c r="P21" s="119"/>
      <c r="Q21" s="119"/>
      <c r="R21" s="113">
        <f t="shared" si="0"/>
        <v>7200</v>
      </c>
    </row>
    <row r="22" spans="1:18" ht="14.25">
      <c r="A22" s="133" t="s">
        <v>38</v>
      </c>
      <c r="B22" s="103"/>
      <c r="C22" s="122">
        <f>SUM(C16:C21)</f>
        <v>243060</v>
      </c>
      <c r="D22" s="103">
        <v>0</v>
      </c>
      <c r="E22" s="103">
        <v>0</v>
      </c>
      <c r="F22" s="103">
        <v>0</v>
      </c>
      <c r="G22" s="103">
        <v>0</v>
      </c>
      <c r="H22" s="103">
        <v>0</v>
      </c>
      <c r="I22" s="103">
        <v>0</v>
      </c>
      <c r="J22" s="103">
        <v>0</v>
      </c>
      <c r="K22" s="103">
        <v>0</v>
      </c>
      <c r="L22" s="103">
        <v>0</v>
      </c>
      <c r="M22" s="103">
        <v>0</v>
      </c>
      <c r="N22" s="103">
        <v>0</v>
      </c>
      <c r="O22" s="103">
        <v>0</v>
      </c>
      <c r="P22" s="103">
        <v>0</v>
      </c>
      <c r="Q22" s="103"/>
      <c r="R22" s="115">
        <f t="shared" si="0"/>
        <v>243060</v>
      </c>
    </row>
    <row r="23" spans="1:18" ht="15" thickBot="1">
      <c r="A23" s="134" t="s">
        <v>39</v>
      </c>
      <c r="B23" s="136"/>
      <c r="C23" s="123">
        <f>486120+243060+243060</f>
        <v>972240</v>
      </c>
      <c r="D23" s="136">
        <v>0</v>
      </c>
      <c r="E23" s="136">
        <v>0</v>
      </c>
      <c r="F23" s="136">
        <v>0</v>
      </c>
      <c r="G23" s="136">
        <v>0</v>
      </c>
      <c r="H23" s="136">
        <v>0</v>
      </c>
      <c r="I23" s="136">
        <v>0</v>
      </c>
      <c r="J23" s="136">
        <v>0</v>
      </c>
      <c r="K23" s="136">
        <v>0</v>
      </c>
      <c r="L23" s="136">
        <v>0</v>
      </c>
      <c r="M23" s="136">
        <v>0</v>
      </c>
      <c r="N23" s="136">
        <v>0</v>
      </c>
      <c r="O23" s="136">
        <v>0</v>
      </c>
      <c r="P23" s="136">
        <v>0</v>
      </c>
      <c r="Q23" s="136"/>
      <c r="R23" s="116">
        <f t="shared" si="0"/>
        <v>972240</v>
      </c>
    </row>
    <row r="24" spans="1:18" ht="15" thickTop="1">
      <c r="A24" s="132" t="s">
        <v>309</v>
      </c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6"/>
      <c r="P24" s="120"/>
      <c r="Q24" s="120"/>
      <c r="R24" s="110"/>
    </row>
    <row r="25" spans="1:18" ht="14.25">
      <c r="A25" s="133" t="s">
        <v>310</v>
      </c>
      <c r="B25" s="119"/>
      <c r="C25" s="119">
        <f>102430+103229</f>
        <v>205659</v>
      </c>
      <c r="D25" s="119"/>
      <c r="E25" s="119">
        <f>62040+5727</f>
        <v>67767</v>
      </c>
      <c r="F25" s="119"/>
      <c r="G25" s="119">
        <f>14300+10163</f>
        <v>24463</v>
      </c>
      <c r="H25" s="119"/>
      <c r="I25" s="119"/>
      <c r="J25" s="119"/>
      <c r="K25" s="119"/>
      <c r="L25" s="119">
        <f>32560+33905</f>
        <v>66465</v>
      </c>
      <c r="M25" s="119"/>
      <c r="N25" s="119"/>
      <c r="O25" s="113"/>
      <c r="P25" s="119"/>
      <c r="Q25" s="119"/>
      <c r="R25" s="113">
        <f>SUM(C25:P25)</f>
        <v>364354</v>
      </c>
    </row>
    <row r="26" spans="1:18" ht="14.25">
      <c r="A26" s="133" t="s">
        <v>311</v>
      </c>
      <c r="B26" s="119"/>
      <c r="C26" s="119">
        <f>10170+1690</f>
        <v>11860</v>
      </c>
      <c r="D26" s="119"/>
      <c r="E26" s="119">
        <f>7660+1270</f>
        <v>8930</v>
      </c>
      <c r="F26" s="119"/>
      <c r="G26" s="119">
        <v>1470</v>
      </c>
      <c r="H26" s="119"/>
      <c r="I26" s="119"/>
      <c r="J26" s="119"/>
      <c r="K26" s="119"/>
      <c r="L26" s="119">
        <v>45</v>
      </c>
      <c r="M26" s="119"/>
      <c r="N26" s="119"/>
      <c r="O26" s="113"/>
      <c r="P26" s="119"/>
      <c r="Q26" s="119"/>
      <c r="R26" s="113">
        <f>SUM(C26:P26)</f>
        <v>22305</v>
      </c>
    </row>
    <row r="27" spans="1:18" ht="14.25">
      <c r="A27" s="132" t="s">
        <v>312</v>
      </c>
      <c r="B27" s="120"/>
      <c r="C27" s="120">
        <v>14700</v>
      </c>
      <c r="D27" s="120"/>
      <c r="E27" s="120">
        <v>3500</v>
      </c>
      <c r="F27" s="120"/>
      <c r="G27" s="120"/>
      <c r="H27" s="120"/>
      <c r="I27" s="120"/>
      <c r="J27" s="120"/>
      <c r="K27" s="120"/>
      <c r="L27" s="120">
        <v>3500</v>
      </c>
      <c r="M27" s="120"/>
      <c r="N27" s="120"/>
      <c r="O27" s="110"/>
      <c r="P27" s="120"/>
      <c r="Q27" s="120"/>
      <c r="R27" s="110">
        <f>SUM(C27:P27)</f>
        <v>21700</v>
      </c>
    </row>
    <row r="28" spans="1:18" ht="14.25">
      <c r="A28" s="133" t="s">
        <v>38</v>
      </c>
      <c r="B28" s="103"/>
      <c r="C28" s="122">
        <f>SUM(C25:C27)</f>
        <v>232219</v>
      </c>
      <c r="D28" s="103">
        <v>0</v>
      </c>
      <c r="E28" s="103">
        <f>SUM(E25:E27)</f>
        <v>80197</v>
      </c>
      <c r="F28" s="103">
        <v>0</v>
      </c>
      <c r="G28" s="103">
        <f>SUM(G25:G27)</f>
        <v>25933</v>
      </c>
      <c r="H28" s="103">
        <v>0</v>
      </c>
      <c r="I28" s="103">
        <v>0</v>
      </c>
      <c r="J28" s="103">
        <v>0</v>
      </c>
      <c r="K28" s="103">
        <v>0</v>
      </c>
      <c r="L28" s="103">
        <f>SUM(L25:L27)</f>
        <v>70010</v>
      </c>
      <c r="M28" s="103">
        <v>0</v>
      </c>
      <c r="N28" s="103">
        <v>0</v>
      </c>
      <c r="O28" s="103">
        <v>0</v>
      </c>
      <c r="P28" s="103">
        <v>0</v>
      </c>
      <c r="Q28" s="103"/>
      <c r="R28" s="103">
        <f>SUM(C28:P28)</f>
        <v>408359</v>
      </c>
    </row>
    <row r="29" spans="1:18" ht="15" thickBot="1">
      <c r="A29" s="134" t="s">
        <v>39</v>
      </c>
      <c r="B29" s="136"/>
      <c r="C29" s="123">
        <f>257980+128990+232219</f>
        <v>619189</v>
      </c>
      <c r="D29" s="136">
        <v>0</v>
      </c>
      <c r="E29" s="136">
        <f>148940+74470+80197</f>
        <v>303607</v>
      </c>
      <c r="F29" s="136">
        <v>0</v>
      </c>
      <c r="G29" s="136">
        <f>30000+17310+25933</f>
        <v>73243</v>
      </c>
      <c r="H29" s="136">
        <v>0</v>
      </c>
      <c r="I29" s="136">
        <v>0</v>
      </c>
      <c r="J29" s="136">
        <v>0</v>
      </c>
      <c r="K29" s="136">
        <v>0</v>
      </c>
      <c r="L29" s="136">
        <f>72210+36105+70010</f>
        <v>178325</v>
      </c>
      <c r="M29" s="136">
        <v>0</v>
      </c>
      <c r="N29" s="136">
        <v>0</v>
      </c>
      <c r="O29" s="136">
        <v>0</v>
      </c>
      <c r="P29" s="136">
        <v>0</v>
      </c>
      <c r="Q29" s="136"/>
      <c r="R29" s="136">
        <f>SUM(C29:P29)</f>
        <v>1174364</v>
      </c>
    </row>
    <row r="30" spans="1:18" ht="15" thickTop="1">
      <c r="A30" s="132" t="s">
        <v>309</v>
      </c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10"/>
      <c r="P30" s="120"/>
      <c r="Q30" s="120"/>
      <c r="R30" s="127"/>
    </row>
    <row r="31" spans="1:18" ht="14.25">
      <c r="A31" s="133" t="s">
        <v>313</v>
      </c>
      <c r="B31" s="119"/>
      <c r="C31" s="119">
        <v>10280</v>
      </c>
      <c r="D31" s="119"/>
      <c r="E31" s="119">
        <v>0</v>
      </c>
      <c r="F31" s="119"/>
      <c r="G31" s="119">
        <v>0</v>
      </c>
      <c r="H31" s="119"/>
      <c r="I31" s="119">
        <v>0</v>
      </c>
      <c r="J31" s="119"/>
      <c r="K31" s="119"/>
      <c r="L31" s="119">
        <v>0</v>
      </c>
      <c r="M31" s="119"/>
      <c r="N31" s="119"/>
      <c r="O31" s="113"/>
      <c r="P31" s="119"/>
      <c r="Q31" s="119"/>
      <c r="R31" s="113">
        <f>SUM(C31:P31)</f>
        <v>10280</v>
      </c>
    </row>
    <row r="32" spans="1:18" ht="14.25">
      <c r="A32" s="132" t="s">
        <v>314</v>
      </c>
      <c r="B32" s="121"/>
      <c r="C32" s="120">
        <v>1500</v>
      </c>
      <c r="D32" s="120"/>
      <c r="E32" s="120">
        <v>0</v>
      </c>
      <c r="F32" s="120"/>
      <c r="G32" s="120">
        <v>0</v>
      </c>
      <c r="H32" s="120"/>
      <c r="I32" s="120">
        <v>0</v>
      </c>
      <c r="J32" s="120"/>
      <c r="K32" s="120"/>
      <c r="L32" s="120">
        <v>0</v>
      </c>
      <c r="M32" s="120"/>
      <c r="N32" s="120"/>
      <c r="O32" s="110"/>
      <c r="P32" s="120"/>
      <c r="Q32" s="120"/>
      <c r="R32" s="110">
        <f>SUM(C32:P32)</f>
        <v>1500</v>
      </c>
    </row>
    <row r="33" spans="1:18" ht="14.25">
      <c r="A33" s="133" t="s">
        <v>38</v>
      </c>
      <c r="B33" s="103"/>
      <c r="C33" s="122">
        <f>SUM(C31:C32)</f>
        <v>11780</v>
      </c>
      <c r="D33" s="103">
        <v>0</v>
      </c>
      <c r="E33" s="103">
        <v>0</v>
      </c>
      <c r="F33" s="103">
        <v>0</v>
      </c>
      <c r="G33" s="103">
        <v>0</v>
      </c>
      <c r="H33" s="103">
        <v>0</v>
      </c>
      <c r="I33" s="103">
        <v>0</v>
      </c>
      <c r="J33" s="103">
        <v>0</v>
      </c>
      <c r="K33" s="103">
        <v>0</v>
      </c>
      <c r="L33" s="103">
        <v>0</v>
      </c>
      <c r="M33" s="103">
        <v>0</v>
      </c>
      <c r="N33" s="103">
        <v>0</v>
      </c>
      <c r="O33" s="103">
        <v>0</v>
      </c>
      <c r="P33" s="103">
        <v>0</v>
      </c>
      <c r="Q33" s="103"/>
      <c r="R33" s="115">
        <f>SUM(C33:P33)</f>
        <v>11780</v>
      </c>
    </row>
    <row r="34" spans="1:18" ht="15" thickBot="1">
      <c r="A34" s="134" t="s">
        <v>39</v>
      </c>
      <c r="B34" s="136"/>
      <c r="C34" s="116">
        <f>23560+11780+11780</f>
        <v>47120</v>
      </c>
      <c r="D34" s="136">
        <v>0</v>
      </c>
      <c r="E34" s="136">
        <v>0</v>
      </c>
      <c r="F34" s="136">
        <v>0</v>
      </c>
      <c r="G34" s="136">
        <v>0</v>
      </c>
      <c r="H34" s="136">
        <v>0</v>
      </c>
      <c r="I34" s="136">
        <v>0</v>
      </c>
      <c r="J34" s="136">
        <v>0</v>
      </c>
      <c r="K34" s="136">
        <v>0</v>
      </c>
      <c r="L34" s="136">
        <v>0</v>
      </c>
      <c r="M34" s="136">
        <v>0</v>
      </c>
      <c r="N34" s="136">
        <v>0</v>
      </c>
      <c r="O34" s="136">
        <v>0</v>
      </c>
      <c r="P34" s="136">
        <v>0</v>
      </c>
      <c r="Q34" s="136"/>
      <c r="R34" s="116">
        <f>SUM(C34:P34)</f>
        <v>47120</v>
      </c>
    </row>
    <row r="35" ht="15" thickTop="1">
      <c r="C35" s="240"/>
    </row>
    <row r="41" spans="1:18" s="107" customFormat="1" ht="14.25">
      <c r="A41" s="108" t="s">
        <v>125</v>
      </c>
      <c r="B41" s="323" t="s">
        <v>101</v>
      </c>
      <c r="C41" s="324" t="s">
        <v>102</v>
      </c>
      <c r="D41" s="324"/>
      <c r="E41" s="324"/>
      <c r="F41" s="130" t="s">
        <v>103</v>
      </c>
      <c r="G41" s="324" t="s">
        <v>104</v>
      </c>
      <c r="H41" s="324"/>
      <c r="I41" s="324" t="s">
        <v>105</v>
      </c>
      <c r="J41" s="324"/>
      <c r="K41" s="130" t="s">
        <v>106</v>
      </c>
      <c r="L41" s="324" t="s">
        <v>107</v>
      </c>
      <c r="M41" s="324"/>
      <c r="N41" s="324" t="s">
        <v>108</v>
      </c>
      <c r="O41" s="324"/>
      <c r="P41" s="327" t="s">
        <v>123</v>
      </c>
      <c r="Q41" s="328"/>
      <c r="R41" s="329" t="s">
        <v>20</v>
      </c>
    </row>
    <row r="42" spans="1:18" s="107" customFormat="1" ht="14.25">
      <c r="A42" s="109" t="s">
        <v>126</v>
      </c>
      <c r="B42" s="323"/>
      <c r="C42" s="130" t="s">
        <v>109</v>
      </c>
      <c r="D42" s="130" t="s">
        <v>121</v>
      </c>
      <c r="E42" s="130" t="s">
        <v>110</v>
      </c>
      <c r="F42" s="130" t="s">
        <v>111</v>
      </c>
      <c r="G42" s="130" t="s">
        <v>112</v>
      </c>
      <c r="H42" s="130" t="s">
        <v>113</v>
      </c>
      <c r="I42" s="130" t="s">
        <v>114</v>
      </c>
      <c r="J42" s="130" t="s">
        <v>115</v>
      </c>
      <c r="K42" s="130" t="s">
        <v>122</v>
      </c>
      <c r="L42" s="130" t="s">
        <v>116</v>
      </c>
      <c r="M42" s="130" t="s">
        <v>117</v>
      </c>
      <c r="N42" s="130" t="s">
        <v>118</v>
      </c>
      <c r="O42" s="130" t="s">
        <v>119</v>
      </c>
      <c r="P42" s="130" t="s">
        <v>367</v>
      </c>
      <c r="Q42" s="250" t="s">
        <v>124</v>
      </c>
      <c r="R42" s="330"/>
    </row>
    <row r="43" spans="1:18" ht="14.25">
      <c r="A43" s="135" t="s">
        <v>309</v>
      </c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</row>
    <row r="44" spans="1:18" ht="14.25">
      <c r="A44" s="133" t="s">
        <v>316</v>
      </c>
      <c r="B44" s="113"/>
      <c r="C44" s="113">
        <v>12130</v>
      </c>
      <c r="D44" s="113"/>
      <c r="E44" s="113">
        <v>13600</v>
      </c>
      <c r="F44" s="113"/>
      <c r="G44" s="113">
        <v>20220</v>
      </c>
      <c r="H44" s="113"/>
      <c r="I44" s="113">
        <v>5340</v>
      </c>
      <c r="J44" s="113"/>
      <c r="K44" s="113"/>
      <c r="L44" s="113">
        <v>5340</v>
      </c>
      <c r="M44" s="113"/>
      <c r="N44" s="113"/>
      <c r="O44" s="113"/>
      <c r="P44" s="113"/>
      <c r="Q44" s="113"/>
      <c r="R44" s="113">
        <f>SUM(C44:P44)</f>
        <v>56630</v>
      </c>
    </row>
    <row r="45" spans="1:18" ht="14.25">
      <c r="A45" s="137" t="s">
        <v>317</v>
      </c>
      <c r="B45" s="110"/>
      <c r="C45" s="110">
        <v>5870</v>
      </c>
      <c r="D45" s="110"/>
      <c r="E45" s="110">
        <v>5160</v>
      </c>
      <c r="F45" s="110"/>
      <c r="G45" s="110">
        <v>12780</v>
      </c>
      <c r="H45" s="110"/>
      <c r="I45" s="110">
        <v>3660</v>
      </c>
      <c r="J45" s="110"/>
      <c r="K45" s="110"/>
      <c r="L45" s="110">
        <v>3660</v>
      </c>
      <c r="M45" s="110"/>
      <c r="N45" s="110"/>
      <c r="O45" s="110"/>
      <c r="P45" s="110"/>
      <c r="Q45" s="110"/>
      <c r="R45" s="110">
        <f>SUM(C45:P45)</f>
        <v>31130</v>
      </c>
    </row>
    <row r="46" spans="1:18" ht="14.25">
      <c r="A46" s="133" t="s">
        <v>38</v>
      </c>
      <c r="B46" s="103"/>
      <c r="C46" s="115">
        <f>SUM(C44:C45)</f>
        <v>18000</v>
      </c>
      <c r="D46" s="103">
        <v>0</v>
      </c>
      <c r="E46" s="103">
        <f>SUM(E44:E45)</f>
        <v>18760</v>
      </c>
      <c r="F46" s="103">
        <v>0</v>
      </c>
      <c r="G46" s="103">
        <f>SUM(G44:G45)</f>
        <v>33000</v>
      </c>
      <c r="H46" s="103">
        <v>0</v>
      </c>
      <c r="I46" s="103">
        <f>SUM(I44:I45)</f>
        <v>9000</v>
      </c>
      <c r="J46" s="103">
        <v>0</v>
      </c>
      <c r="K46" s="103">
        <v>0</v>
      </c>
      <c r="L46" s="103">
        <f>SUM(L44:L45)</f>
        <v>9000</v>
      </c>
      <c r="M46" s="103">
        <v>0</v>
      </c>
      <c r="N46" s="103">
        <v>0</v>
      </c>
      <c r="O46" s="103">
        <v>0</v>
      </c>
      <c r="P46" s="103">
        <v>0</v>
      </c>
      <c r="Q46" s="103"/>
      <c r="R46" s="103">
        <f>SUM(C46:P46)</f>
        <v>87760</v>
      </c>
    </row>
    <row r="47" spans="1:18" ht="15" thickBot="1">
      <c r="A47" s="134" t="s">
        <v>39</v>
      </c>
      <c r="B47" s="136"/>
      <c r="C47" s="116">
        <f>36000+18000+18000</f>
        <v>72000</v>
      </c>
      <c r="D47" s="103">
        <v>0</v>
      </c>
      <c r="E47" s="103">
        <f>37520+18760+18760</f>
        <v>75040</v>
      </c>
      <c r="F47" s="103">
        <v>0</v>
      </c>
      <c r="G47" s="103">
        <f>66000+33000+33000</f>
        <v>132000</v>
      </c>
      <c r="H47" s="103">
        <v>0</v>
      </c>
      <c r="I47" s="103">
        <f>18000+9000+9000</f>
        <v>36000</v>
      </c>
      <c r="J47" s="103">
        <v>0</v>
      </c>
      <c r="K47" s="103">
        <v>0</v>
      </c>
      <c r="L47" s="103">
        <f>36000+9000+9000</f>
        <v>54000</v>
      </c>
      <c r="M47" s="103">
        <v>0</v>
      </c>
      <c r="N47" s="103">
        <v>0</v>
      </c>
      <c r="O47" s="103">
        <v>0</v>
      </c>
      <c r="P47" s="103">
        <v>0</v>
      </c>
      <c r="Q47" s="103"/>
      <c r="R47" s="103">
        <f>SUM(C47:Q47)</f>
        <v>369040</v>
      </c>
    </row>
    <row r="48" spans="1:18" ht="15" thickTop="1">
      <c r="A48" s="135" t="s">
        <v>318</v>
      </c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8"/>
      <c r="P48" s="117"/>
      <c r="Q48" s="117"/>
      <c r="R48" s="118"/>
    </row>
    <row r="49" spans="1:18" ht="14.25">
      <c r="A49" s="133" t="s">
        <v>319</v>
      </c>
      <c r="B49" s="119"/>
      <c r="C49" s="119">
        <v>0</v>
      </c>
      <c r="D49" s="119"/>
      <c r="E49" s="119"/>
      <c r="F49" s="119"/>
      <c r="G49" s="119"/>
      <c r="H49" s="119"/>
      <c r="I49" s="119"/>
      <c r="J49" s="119"/>
      <c r="K49" s="119"/>
      <c r="L49" s="119">
        <f>15400</f>
        <v>15400</v>
      </c>
      <c r="M49" s="119">
        <v>0</v>
      </c>
      <c r="N49" s="119"/>
      <c r="O49" s="113"/>
      <c r="P49" s="119"/>
      <c r="Q49" s="119"/>
      <c r="R49" s="113">
        <f aca="true" t="shared" si="1" ref="R49:R55">SUM(C49:P49)</f>
        <v>15400</v>
      </c>
    </row>
    <row r="50" spans="1:18" ht="14.25">
      <c r="A50" s="132" t="s">
        <v>320</v>
      </c>
      <c r="B50" s="120"/>
      <c r="C50" s="120">
        <v>0</v>
      </c>
      <c r="D50" s="120"/>
      <c r="E50" s="120">
        <v>0</v>
      </c>
      <c r="F50" s="120"/>
      <c r="G50" s="120"/>
      <c r="H50" s="120"/>
      <c r="I50" s="120"/>
      <c r="J50" s="120"/>
      <c r="K50" s="120"/>
      <c r="L50" s="120"/>
      <c r="M50" s="120"/>
      <c r="N50" s="120"/>
      <c r="O50" s="110"/>
      <c r="P50" s="120"/>
      <c r="Q50" s="120"/>
      <c r="R50" s="110">
        <f t="shared" si="1"/>
        <v>0</v>
      </c>
    </row>
    <row r="51" spans="1:18" ht="14.25">
      <c r="A51" s="133" t="s">
        <v>321</v>
      </c>
      <c r="B51" s="119"/>
      <c r="C51" s="119">
        <f>2400+1000+1000+1000+1000</f>
        <v>6400</v>
      </c>
      <c r="D51" s="119"/>
      <c r="E51" s="119">
        <f>1950</f>
        <v>1950</v>
      </c>
      <c r="F51" s="119"/>
      <c r="G51" s="119">
        <f>2400</f>
        <v>2400</v>
      </c>
      <c r="H51" s="119"/>
      <c r="I51" s="119"/>
      <c r="J51" s="119"/>
      <c r="K51" s="119"/>
      <c r="L51" s="119">
        <f>3000+1950</f>
        <v>4950</v>
      </c>
      <c r="M51" s="119"/>
      <c r="N51" s="119"/>
      <c r="O51" s="113"/>
      <c r="P51" s="119"/>
      <c r="Q51" s="119"/>
      <c r="R51" s="113">
        <f t="shared" si="1"/>
        <v>15700</v>
      </c>
    </row>
    <row r="52" spans="1:18" ht="14.25">
      <c r="A52" s="133" t="s">
        <v>322</v>
      </c>
      <c r="B52" s="119"/>
      <c r="C52" s="119">
        <v>0</v>
      </c>
      <c r="D52" s="119"/>
      <c r="E52" s="119"/>
      <c r="F52" s="119">
        <v>0</v>
      </c>
      <c r="G52" s="119">
        <v>0</v>
      </c>
      <c r="H52" s="119"/>
      <c r="I52" s="119"/>
      <c r="J52" s="119"/>
      <c r="K52" s="119"/>
      <c r="L52" s="119"/>
      <c r="M52" s="119"/>
      <c r="N52" s="243"/>
      <c r="O52" s="113"/>
      <c r="P52" s="119"/>
      <c r="Q52" s="119"/>
      <c r="R52" s="113">
        <f t="shared" si="1"/>
        <v>0</v>
      </c>
    </row>
    <row r="53" spans="1:18" ht="14.25">
      <c r="A53" s="169" t="s">
        <v>323</v>
      </c>
      <c r="B53" s="121"/>
      <c r="C53" s="121">
        <v>0</v>
      </c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244"/>
      <c r="O53" s="114"/>
      <c r="P53" s="121"/>
      <c r="Q53" s="121"/>
      <c r="R53" s="129">
        <f>SUM(C53:Q53)</f>
        <v>0</v>
      </c>
    </row>
    <row r="54" spans="1:18" ht="14.25">
      <c r="A54" s="133" t="s">
        <v>38</v>
      </c>
      <c r="B54" s="103"/>
      <c r="C54" s="122">
        <f>SUM(C49:C53)</f>
        <v>6400</v>
      </c>
      <c r="D54" s="103">
        <v>0</v>
      </c>
      <c r="E54" s="103">
        <f>SUM(E51)</f>
        <v>1950</v>
      </c>
      <c r="F54" s="103">
        <v>0</v>
      </c>
      <c r="G54" s="103">
        <f>SUM(G51)</f>
        <v>2400</v>
      </c>
      <c r="H54" s="103">
        <v>0</v>
      </c>
      <c r="I54" s="103">
        <v>0</v>
      </c>
      <c r="J54" s="103">
        <v>0</v>
      </c>
      <c r="K54" s="103">
        <v>0</v>
      </c>
      <c r="L54" s="103">
        <f>SUM(L49:L53)</f>
        <v>20350</v>
      </c>
      <c r="M54" s="103">
        <f>SUM(M49:M52)</f>
        <v>0</v>
      </c>
      <c r="N54" s="103">
        <v>0</v>
      </c>
      <c r="O54" s="103">
        <v>0</v>
      </c>
      <c r="P54" s="103">
        <v>0</v>
      </c>
      <c r="Q54" s="103"/>
      <c r="R54" s="115">
        <f t="shared" si="1"/>
        <v>31100</v>
      </c>
    </row>
    <row r="55" spans="1:18" ht="15" thickBot="1">
      <c r="A55" s="134" t="s">
        <v>39</v>
      </c>
      <c r="B55" s="136"/>
      <c r="C55" s="123">
        <f>51649+6400+6400</f>
        <v>64449</v>
      </c>
      <c r="D55" s="136">
        <v>0</v>
      </c>
      <c r="E55" s="136">
        <f>8790+1950</f>
        <v>10740</v>
      </c>
      <c r="F55" s="136">
        <v>0</v>
      </c>
      <c r="G55" s="136">
        <f>4800+2400+2400</f>
        <v>9600</v>
      </c>
      <c r="H55" s="136">
        <v>0</v>
      </c>
      <c r="I55" s="136">
        <v>0</v>
      </c>
      <c r="J55" s="136">
        <v>0</v>
      </c>
      <c r="K55" s="136">
        <v>0</v>
      </c>
      <c r="L55" s="136">
        <f>9900+4950+20350</f>
        <v>35200</v>
      </c>
      <c r="M55" s="136">
        <v>0</v>
      </c>
      <c r="N55" s="136">
        <v>0</v>
      </c>
      <c r="O55" s="103">
        <v>0</v>
      </c>
      <c r="P55" s="136">
        <v>0</v>
      </c>
      <c r="Q55" s="136"/>
      <c r="R55" s="116">
        <f t="shared" si="1"/>
        <v>119989</v>
      </c>
    </row>
    <row r="56" spans="1:18" ht="15" thickTop="1">
      <c r="A56" s="137" t="s">
        <v>324</v>
      </c>
      <c r="B56" s="125"/>
      <c r="C56" s="125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6"/>
      <c r="O56" s="127"/>
      <c r="P56" s="126"/>
      <c r="Q56" s="126"/>
      <c r="R56" s="127"/>
    </row>
    <row r="57" spans="1:18" ht="14.25">
      <c r="A57" s="137" t="s">
        <v>325</v>
      </c>
      <c r="B57" s="125"/>
      <c r="C57" s="125">
        <f>7000+5000+6000+99968+30500</f>
        <v>148468</v>
      </c>
      <c r="D57" s="125"/>
      <c r="E57" s="125">
        <v>0</v>
      </c>
      <c r="F57" s="125"/>
      <c r="G57" s="125">
        <v>0</v>
      </c>
      <c r="H57" s="125"/>
      <c r="I57" s="125"/>
      <c r="J57" s="125"/>
      <c r="K57" s="125"/>
      <c r="L57" s="125">
        <v>0</v>
      </c>
      <c r="M57" s="125"/>
      <c r="N57" s="125"/>
      <c r="O57" s="126"/>
      <c r="P57" s="125"/>
      <c r="Q57" s="125"/>
      <c r="R57" s="126">
        <f>SUM(C57:P57)</f>
        <v>148468</v>
      </c>
    </row>
    <row r="58" spans="1:18" ht="14.25">
      <c r="A58" s="133" t="s">
        <v>326</v>
      </c>
      <c r="B58" s="119"/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3"/>
      <c r="P58" s="119"/>
      <c r="Q58" s="119"/>
      <c r="R58" s="113"/>
    </row>
    <row r="59" spans="1:18" ht="14.25">
      <c r="A59" s="137" t="s">
        <v>327</v>
      </c>
      <c r="B59" s="119"/>
      <c r="C59" s="119">
        <f>3000+8000+16200+59250+63200</f>
        <v>149650</v>
      </c>
      <c r="D59" s="119"/>
      <c r="E59" s="119">
        <v>0</v>
      </c>
      <c r="F59" s="119">
        <f>3000+9000</f>
        <v>12000</v>
      </c>
      <c r="G59" s="119">
        <v>0</v>
      </c>
      <c r="H59" s="119">
        <f>300+1500+2500+6500+2840+3550+200+3000</f>
        <v>20390</v>
      </c>
      <c r="I59" s="119"/>
      <c r="J59" s="119">
        <f>43750+88500</f>
        <v>132250</v>
      </c>
      <c r="K59" s="119"/>
      <c r="L59" s="119"/>
      <c r="M59" s="119"/>
      <c r="N59" s="119"/>
      <c r="O59" s="113">
        <v>0</v>
      </c>
      <c r="P59" s="119"/>
      <c r="Q59" s="119"/>
      <c r="R59" s="113">
        <f>SUM(C59:P59)</f>
        <v>314290</v>
      </c>
    </row>
    <row r="60" spans="1:18" ht="14.25">
      <c r="A60" s="137" t="s">
        <v>328</v>
      </c>
      <c r="B60" s="119"/>
      <c r="C60" s="119">
        <v>1150</v>
      </c>
      <c r="D60" s="119"/>
      <c r="E60" s="119">
        <v>0</v>
      </c>
      <c r="F60" s="119"/>
      <c r="G60" s="119">
        <f>1750</f>
        <v>1750</v>
      </c>
      <c r="H60" s="119"/>
      <c r="I60" s="119"/>
      <c r="J60" s="119"/>
      <c r="K60" s="119"/>
      <c r="L60" s="119"/>
      <c r="M60" s="119"/>
      <c r="N60" s="119"/>
      <c r="O60" s="113"/>
      <c r="P60" s="119"/>
      <c r="Q60" s="119"/>
      <c r="R60" s="113">
        <f>SUM(C60:Q60)</f>
        <v>2900</v>
      </c>
    </row>
    <row r="61" spans="1:18" ht="14.25">
      <c r="A61" s="133" t="s">
        <v>38</v>
      </c>
      <c r="B61" s="103"/>
      <c r="C61" s="122">
        <f>SUM(C57:C60)</f>
        <v>299268</v>
      </c>
      <c r="D61" s="103">
        <v>0</v>
      </c>
      <c r="E61" s="103">
        <f>SUM(E57:E60)</f>
        <v>0</v>
      </c>
      <c r="F61" s="103">
        <f>SUM(F59)</f>
        <v>12000</v>
      </c>
      <c r="G61" s="103">
        <f>SUM(G57:G60)</f>
        <v>1750</v>
      </c>
      <c r="H61" s="103">
        <f>SUM(H57:H60)</f>
        <v>20390</v>
      </c>
      <c r="I61" s="103">
        <v>0</v>
      </c>
      <c r="J61" s="103">
        <f>SUM(J59)</f>
        <v>132250</v>
      </c>
      <c r="K61" s="103">
        <v>0</v>
      </c>
      <c r="L61" s="103">
        <v>0</v>
      </c>
      <c r="M61" s="103">
        <v>0</v>
      </c>
      <c r="N61" s="103">
        <v>0</v>
      </c>
      <c r="O61" s="103">
        <f>SUM(O59)</f>
        <v>0</v>
      </c>
      <c r="P61" s="103">
        <v>0</v>
      </c>
      <c r="Q61" s="103"/>
      <c r="R61" s="115">
        <f>SUM(C61:P61)</f>
        <v>465658</v>
      </c>
    </row>
    <row r="62" spans="1:18" ht="15" thickBot="1">
      <c r="A62" s="134" t="s">
        <v>39</v>
      </c>
      <c r="B62" s="136"/>
      <c r="C62" s="123">
        <f>15720+50547.24+299268</f>
        <v>365535.24</v>
      </c>
      <c r="D62" s="136">
        <v>0</v>
      </c>
      <c r="E62" s="136">
        <f>3150+2700</f>
        <v>5850</v>
      </c>
      <c r="F62" s="136">
        <f>5300+12000</f>
        <v>17300</v>
      </c>
      <c r="G62" s="136">
        <f>21220+1750</f>
        <v>22970</v>
      </c>
      <c r="H62" s="136">
        <f>20390</f>
        <v>20390</v>
      </c>
      <c r="I62" s="136">
        <v>0</v>
      </c>
      <c r="J62" s="136">
        <f>132250</f>
        <v>132250</v>
      </c>
      <c r="K62" s="136">
        <v>0</v>
      </c>
      <c r="L62" s="136">
        <f>3300</f>
        <v>3300</v>
      </c>
      <c r="M62" s="136">
        <v>0</v>
      </c>
      <c r="N62" s="136">
        <v>0</v>
      </c>
      <c r="O62" s="136">
        <f>95555</f>
        <v>95555</v>
      </c>
      <c r="P62" s="136">
        <v>0</v>
      </c>
      <c r="Q62" s="136"/>
      <c r="R62" s="116">
        <f>SUM(C62:P62)</f>
        <v>663150.24</v>
      </c>
    </row>
    <row r="63" spans="1:18" ht="15" thickTop="1">
      <c r="A63" s="137" t="s">
        <v>329</v>
      </c>
      <c r="B63" s="125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6"/>
      <c r="O63" s="127"/>
      <c r="P63" s="126"/>
      <c r="Q63" s="126"/>
      <c r="R63" s="127"/>
    </row>
    <row r="64" spans="1:18" ht="14.25">
      <c r="A64" s="137" t="s">
        <v>330</v>
      </c>
      <c r="B64" s="125"/>
      <c r="C64" s="125"/>
      <c r="D64" s="125"/>
      <c r="E64" s="125">
        <f>6612</f>
        <v>6612</v>
      </c>
      <c r="F64" s="125"/>
      <c r="G64" s="125">
        <v>6890</v>
      </c>
      <c r="H64" s="125"/>
      <c r="I64" s="125"/>
      <c r="J64" s="125"/>
      <c r="K64" s="125"/>
      <c r="L64" s="125"/>
      <c r="M64" s="125"/>
      <c r="N64" s="125"/>
      <c r="O64" s="126"/>
      <c r="P64" s="125"/>
      <c r="Q64" s="125"/>
      <c r="R64" s="126">
        <f>SUM(C64:P64)</f>
        <v>13502</v>
      </c>
    </row>
    <row r="65" spans="1:18" ht="14.25">
      <c r="A65" s="133" t="s">
        <v>331</v>
      </c>
      <c r="B65" s="119"/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3"/>
      <c r="P65" s="119"/>
      <c r="Q65" s="119"/>
      <c r="R65" s="113"/>
    </row>
    <row r="66" spans="1:18" ht="14.25">
      <c r="A66" s="137" t="s">
        <v>332</v>
      </c>
      <c r="B66" s="119"/>
      <c r="C66" s="119"/>
      <c r="D66" s="119"/>
      <c r="E66" s="119">
        <f>100</f>
        <v>100</v>
      </c>
      <c r="F66" s="119"/>
      <c r="G66" s="119"/>
      <c r="H66" s="119">
        <v>0</v>
      </c>
      <c r="I66" s="119"/>
      <c r="J66" s="119"/>
      <c r="K66" s="119"/>
      <c r="L66" s="119"/>
      <c r="M66" s="119"/>
      <c r="N66" s="119"/>
      <c r="O66" s="113"/>
      <c r="P66" s="119"/>
      <c r="Q66" s="119"/>
      <c r="R66" s="113">
        <f>SUM(C66:P66)</f>
        <v>100</v>
      </c>
    </row>
    <row r="67" spans="1:18" ht="14.25">
      <c r="A67" s="137" t="s">
        <v>333</v>
      </c>
      <c r="B67" s="119"/>
      <c r="C67" s="119"/>
      <c r="D67" s="119"/>
      <c r="E67" s="119"/>
      <c r="F67" s="119"/>
      <c r="G67" s="119"/>
      <c r="H67" s="119">
        <f>7108.92+60655.14</f>
        <v>67764.06</v>
      </c>
      <c r="I67" s="119"/>
      <c r="J67" s="119"/>
      <c r="K67" s="119"/>
      <c r="L67" s="119"/>
      <c r="M67" s="119"/>
      <c r="N67" s="119"/>
      <c r="O67" s="113"/>
      <c r="P67" s="119"/>
      <c r="Q67" s="119"/>
      <c r="R67" s="113">
        <f>SUM(H67:Q67)</f>
        <v>67764.06</v>
      </c>
    </row>
    <row r="68" spans="1:18" ht="14.25">
      <c r="A68" s="137" t="s">
        <v>334</v>
      </c>
      <c r="B68" s="119"/>
      <c r="C68" s="119"/>
      <c r="D68" s="119"/>
      <c r="E68" s="119"/>
      <c r="F68" s="119"/>
      <c r="G68" s="119"/>
      <c r="H68" s="119">
        <f>18848-992</f>
        <v>17856</v>
      </c>
      <c r="I68" s="119"/>
      <c r="J68" s="119"/>
      <c r="K68" s="119"/>
      <c r="L68" s="119"/>
      <c r="M68" s="119"/>
      <c r="N68" s="119"/>
      <c r="O68" s="113"/>
      <c r="P68" s="119"/>
      <c r="Q68" s="119"/>
      <c r="R68" s="113">
        <f>SUM(H68)</f>
        <v>17856</v>
      </c>
    </row>
    <row r="69" spans="1:18" ht="14.25">
      <c r="A69" s="137" t="s">
        <v>335</v>
      </c>
      <c r="B69" s="119"/>
      <c r="C69" s="119"/>
      <c r="D69" s="119"/>
      <c r="E69" s="119"/>
      <c r="F69" s="119"/>
      <c r="G69" s="119"/>
      <c r="H69" s="119"/>
      <c r="I69" s="119"/>
      <c r="J69" s="119"/>
      <c r="K69" s="119"/>
      <c r="L69" s="119"/>
      <c r="M69" s="119"/>
      <c r="N69" s="119"/>
      <c r="O69" s="113"/>
      <c r="P69" s="119"/>
      <c r="Q69" s="119"/>
      <c r="R69" s="113"/>
    </row>
    <row r="70" spans="1:18" ht="14.25">
      <c r="A70" s="137" t="s">
        <v>336</v>
      </c>
      <c r="B70" s="119"/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3"/>
      <c r="P70" s="119"/>
      <c r="Q70" s="119"/>
      <c r="R70" s="113"/>
    </row>
    <row r="71" spans="1:18" ht="14.25">
      <c r="A71" s="137" t="s">
        <v>337</v>
      </c>
      <c r="B71" s="119"/>
      <c r="C71" s="119">
        <v>8860</v>
      </c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3"/>
      <c r="P71" s="119"/>
      <c r="Q71" s="119"/>
      <c r="R71" s="113">
        <f>SUM(C71:Q71)</f>
        <v>8860</v>
      </c>
    </row>
    <row r="72" spans="1:18" ht="14.25">
      <c r="A72" s="137" t="s">
        <v>338</v>
      </c>
      <c r="B72" s="119"/>
      <c r="C72" s="119"/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13"/>
      <c r="P72" s="119"/>
      <c r="Q72" s="119"/>
      <c r="R72" s="113">
        <v>0</v>
      </c>
    </row>
    <row r="73" spans="1:18" ht="14.25">
      <c r="A73" s="137" t="s">
        <v>339</v>
      </c>
      <c r="B73" s="119"/>
      <c r="C73" s="119">
        <v>0</v>
      </c>
      <c r="D73" s="119"/>
      <c r="E73" s="119">
        <v>0</v>
      </c>
      <c r="F73" s="119"/>
      <c r="G73" s="119">
        <v>0</v>
      </c>
      <c r="H73" s="119"/>
      <c r="I73" s="119"/>
      <c r="J73" s="119"/>
      <c r="K73" s="119"/>
      <c r="L73" s="119"/>
      <c r="M73" s="119"/>
      <c r="N73" s="119"/>
      <c r="O73" s="113"/>
      <c r="P73" s="119"/>
      <c r="Q73" s="119"/>
      <c r="R73" s="113">
        <f>SUM(B73:Q73)</f>
        <v>0</v>
      </c>
    </row>
    <row r="74" spans="1:18" ht="14.25">
      <c r="A74" s="137" t="s">
        <v>340</v>
      </c>
      <c r="B74" s="119"/>
      <c r="C74" s="119"/>
      <c r="D74" s="119"/>
      <c r="E74" s="119"/>
      <c r="F74" s="119"/>
      <c r="G74" s="119"/>
      <c r="H74" s="119"/>
      <c r="I74" s="119"/>
      <c r="J74" s="119"/>
      <c r="K74" s="119"/>
      <c r="L74" s="119"/>
      <c r="M74" s="119"/>
      <c r="N74" s="119"/>
      <c r="O74" s="113"/>
      <c r="P74" s="119"/>
      <c r="Q74" s="119"/>
      <c r="R74" s="113"/>
    </row>
    <row r="75" spans="1:18" ht="14.25">
      <c r="A75" s="137" t="s">
        <v>341</v>
      </c>
      <c r="B75" s="119"/>
      <c r="C75" s="119"/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3"/>
      <c r="P75" s="119"/>
      <c r="Q75" s="119"/>
      <c r="R75" s="113"/>
    </row>
    <row r="76" spans="1:18" ht="14.25">
      <c r="A76" s="133" t="s">
        <v>38</v>
      </c>
      <c r="B76" s="103"/>
      <c r="C76" s="122">
        <f>SUM(C64:C75)</f>
        <v>8860</v>
      </c>
      <c r="D76" s="103">
        <v>0</v>
      </c>
      <c r="E76" s="103">
        <f>SUM(E64:E75)</f>
        <v>6712</v>
      </c>
      <c r="F76" s="103">
        <v>0</v>
      </c>
      <c r="G76" s="103">
        <f>SUM(G64)</f>
        <v>6890</v>
      </c>
      <c r="H76" s="103">
        <f>SUM(H64:H75)</f>
        <v>85620.06</v>
      </c>
      <c r="I76" s="103">
        <v>0</v>
      </c>
      <c r="J76" s="103">
        <v>0</v>
      </c>
      <c r="K76" s="103">
        <v>0</v>
      </c>
      <c r="L76" s="103">
        <f>SUM(L65:L75)</f>
        <v>0</v>
      </c>
      <c r="M76" s="103">
        <v>0</v>
      </c>
      <c r="N76" s="103">
        <v>0</v>
      </c>
      <c r="O76" s="103">
        <v>0</v>
      </c>
      <c r="P76" s="103">
        <v>0</v>
      </c>
      <c r="Q76" s="103"/>
      <c r="R76" s="115">
        <f>SUM(C76:P76)</f>
        <v>108082.06</v>
      </c>
    </row>
    <row r="77" spans="1:18" ht="15" thickBot="1">
      <c r="A77" s="134" t="s">
        <v>39</v>
      </c>
      <c r="B77" s="136"/>
      <c r="C77" s="123">
        <f>44960+16550+8860</f>
        <v>70370</v>
      </c>
      <c r="D77" s="136">
        <v>0</v>
      </c>
      <c r="E77" s="136">
        <f>19720+37223+6712</f>
        <v>63655</v>
      </c>
      <c r="F77" s="136">
        <v>0</v>
      </c>
      <c r="G77" s="136">
        <f>1800+6890</f>
        <v>8690</v>
      </c>
      <c r="H77" s="136">
        <f>88710.72+85620.06</f>
        <v>174330.78</v>
      </c>
      <c r="I77" s="136">
        <v>0</v>
      </c>
      <c r="J77" s="136">
        <v>0</v>
      </c>
      <c r="K77" s="136">
        <v>0</v>
      </c>
      <c r="L77" s="136">
        <v>0</v>
      </c>
      <c r="M77" s="136">
        <v>0</v>
      </c>
      <c r="N77" s="136">
        <v>0</v>
      </c>
      <c r="O77" s="136">
        <v>0</v>
      </c>
      <c r="P77" s="136">
        <v>0</v>
      </c>
      <c r="Q77" s="136"/>
      <c r="R77" s="116">
        <f>SUM(C77:Q77)</f>
        <v>317045.78</v>
      </c>
    </row>
    <row r="78" ht="15" thickTop="1"/>
    <row r="81" spans="1:18" s="107" customFormat="1" ht="13.5" customHeight="1">
      <c r="A81" s="108" t="s">
        <v>125</v>
      </c>
      <c r="B81" s="323" t="s">
        <v>101</v>
      </c>
      <c r="C81" s="324" t="s">
        <v>102</v>
      </c>
      <c r="D81" s="324"/>
      <c r="E81" s="324"/>
      <c r="F81" s="130" t="s">
        <v>103</v>
      </c>
      <c r="G81" s="324" t="s">
        <v>104</v>
      </c>
      <c r="H81" s="324"/>
      <c r="I81" s="324" t="s">
        <v>105</v>
      </c>
      <c r="J81" s="324"/>
      <c r="K81" s="130" t="s">
        <v>106</v>
      </c>
      <c r="L81" s="324" t="s">
        <v>107</v>
      </c>
      <c r="M81" s="324"/>
      <c r="N81" s="324" t="s">
        <v>108</v>
      </c>
      <c r="O81" s="324"/>
      <c r="P81" s="327" t="s">
        <v>123</v>
      </c>
      <c r="Q81" s="328"/>
      <c r="R81" s="329" t="s">
        <v>20</v>
      </c>
    </row>
    <row r="82" spans="1:18" s="107" customFormat="1" ht="13.5" customHeight="1">
      <c r="A82" s="109" t="s">
        <v>126</v>
      </c>
      <c r="B82" s="323"/>
      <c r="C82" s="130" t="s">
        <v>109</v>
      </c>
      <c r="D82" s="130" t="s">
        <v>121</v>
      </c>
      <c r="E82" s="130" t="s">
        <v>110</v>
      </c>
      <c r="F82" s="130" t="s">
        <v>111</v>
      </c>
      <c r="G82" s="130" t="s">
        <v>112</v>
      </c>
      <c r="H82" s="130" t="s">
        <v>113</v>
      </c>
      <c r="I82" s="130" t="s">
        <v>114</v>
      </c>
      <c r="J82" s="130" t="s">
        <v>115</v>
      </c>
      <c r="K82" s="130" t="s">
        <v>122</v>
      </c>
      <c r="L82" s="130" t="s">
        <v>116</v>
      </c>
      <c r="M82" s="130" t="s">
        <v>117</v>
      </c>
      <c r="N82" s="130" t="s">
        <v>118</v>
      </c>
      <c r="O82" s="130" t="s">
        <v>119</v>
      </c>
      <c r="P82" s="130" t="s">
        <v>367</v>
      </c>
      <c r="Q82" s="250" t="s">
        <v>124</v>
      </c>
      <c r="R82" s="330"/>
    </row>
    <row r="83" spans="1:18" ht="13.5" customHeight="1">
      <c r="A83" s="135" t="s">
        <v>342</v>
      </c>
      <c r="B83" s="112"/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</row>
    <row r="84" spans="1:18" ht="13.5" customHeight="1">
      <c r="A84" s="137" t="s">
        <v>343</v>
      </c>
      <c r="B84" s="110"/>
      <c r="C84" s="110">
        <f>6481.87</f>
        <v>6481.87</v>
      </c>
      <c r="D84" s="110"/>
      <c r="E84" s="110"/>
      <c r="F84" s="110"/>
      <c r="G84" s="110">
        <f>561.82</f>
        <v>561.82</v>
      </c>
      <c r="H84" s="110"/>
      <c r="I84" s="110"/>
      <c r="J84" s="110"/>
      <c r="K84" s="110"/>
      <c r="L84" s="110"/>
      <c r="M84" s="110"/>
      <c r="N84" s="110"/>
      <c r="O84" s="110"/>
      <c r="P84" s="110"/>
      <c r="Q84" s="110"/>
      <c r="R84" s="110">
        <f>SUM(C84:P84)</f>
        <v>7043.69</v>
      </c>
    </row>
    <row r="85" spans="1:18" ht="13.5" customHeight="1">
      <c r="A85" s="133" t="s">
        <v>344</v>
      </c>
      <c r="B85" s="113"/>
      <c r="C85" s="113">
        <f>250</f>
        <v>250</v>
      </c>
      <c r="D85" s="113"/>
      <c r="E85" s="113"/>
      <c r="F85" s="113"/>
      <c r="G85" s="113">
        <f>160</f>
        <v>160</v>
      </c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>
        <f>SUM(C85:P85)</f>
        <v>410</v>
      </c>
    </row>
    <row r="86" spans="1:18" ht="13.5" customHeight="1">
      <c r="A86" s="133" t="s">
        <v>345</v>
      </c>
      <c r="B86" s="113"/>
      <c r="C86" s="113">
        <v>986.54</v>
      </c>
      <c r="D86" s="113"/>
      <c r="E86" s="113"/>
      <c r="F86" s="113"/>
      <c r="G86" s="113">
        <v>430.14</v>
      </c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>
        <f>SUM(C86:P86)</f>
        <v>1416.6799999999998</v>
      </c>
    </row>
    <row r="87" spans="1:18" ht="13.5" customHeight="1">
      <c r="A87" s="132" t="s">
        <v>346</v>
      </c>
      <c r="B87" s="113"/>
      <c r="C87" s="113">
        <v>0</v>
      </c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>
        <f>SUM(C87:Q87)</f>
        <v>0</v>
      </c>
    </row>
    <row r="88" spans="1:18" ht="13.5" customHeight="1">
      <c r="A88" s="133" t="s">
        <v>347</v>
      </c>
      <c r="B88" s="114"/>
      <c r="C88" s="114">
        <v>5339.3</v>
      </c>
      <c r="D88" s="114"/>
      <c r="E88" s="114"/>
      <c r="F88" s="114"/>
      <c r="G88" s="114">
        <v>1701.3</v>
      </c>
      <c r="H88" s="114"/>
      <c r="I88" s="114"/>
      <c r="J88" s="114"/>
      <c r="K88" s="114"/>
      <c r="L88" s="114"/>
      <c r="M88" s="114"/>
      <c r="N88" s="114"/>
      <c r="O88" s="114"/>
      <c r="P88" s="114"/>
      <c r="Q88" s="114"/>
      <c r="R88" s="114">
        <f>SUM(C88:P88)</f>
        <v>7040.6</v>
      </c>
    </row>
    <row r="89" spans="1:18" ht="13.5" customHeight="1">
      <c r="A89" s="133" t="s">
        <v>38</v>
      </c>
      <c r="B89" s="103"/>
      <c r="C89" s="103">
        <f>SUM(C84:C88)</f>
        <v>13057.71</v>
      </c>
      <c r="D89" s="103">
        <v>0</v>
      </c>
      <c r="E89" s="103">
        <v>0</v>
      </c>
      <c r="F89" s="103">
        <v>0</v>
      </c>
      <c r="G89" s="103">
        <f>SUM(G84:G88)</f>
        <v>2853.26</v>
      </c>
      <c r="H89" s="103">
        <v>0</v>
      </c>
      <c r="I89" s="103">
        <v>0</v>
      </c>
      <c r="J89" s="103">
        <v>0</v>
      </c>
      <c r="K89" s="103">
        <v>0</v>
      </c>
      <c r="L89" s="103">
        <v>0</v>
      </c>
      <c r="M89" s="103">
        <v>0</v>
      </c>
      <c r="N89" s="103">
        <v>0</v>
      </c>
      <c r="O89" s="103">
        <v>0</v>
      </c>
      <c r="P89" s="103">
        <v>0</v>
      </c>
      <c r="Q89" s="103"/>
      <c r="R89" s="115">
        <f>SUM(C89:P89)</f>
        <v>15910.97</v>
      </c>
    </row>
    <row r="90" spans="1:18" ht="13.5" customHeight="1" thickBot="1">
      <c r="A90" s="134" t="s">
        <v>39</v>
      </c>
      <c r="B90" s="103"/>
      <c r="C90" s="103">
        <f>34261.68+15288.43+13057.71</f>
        <v>62607.82</v>
      </c>
      <c r="D90" s="103">
        <v>0</v>
      </c>
      <c r="E90" s="103">
        <v>0</v>
      </c>
      <c r="F90" s="103">
        <v>0</v>
      </c>
      <c r="G90" s="103">
        <f>5430.58+2708.65+2853.26</f>
        <v>10992.49</v>
      </c>
      <c r="H90" s="103">
        <v>0</v>
      </c>
      <c r="I90" s="103">
        <v>0</v>
      </c>
      <c r="J90" s="103">
        <v>0</v>
      </c>
      <c r="K90" s="103">
        <v>0</v>
      </c>
      <c r="L90" s="103">
        <v>0</v>
      </c>
      <c r="M90" s="103">
        <v>0</v>
      </c>
      <c r="N90" s="103">
        <v>0</v>
      </c>
      <c r="O90" s="103">
        <v>0</v>
      </c>
      <c r="P90" s="103">
        <v>0</v>
      </c>
      <c r="Q90" s="248"/>
      <c r="R90" s="116">
        <f>SUM(C90:P90)</f>
        <v>73600.31</v>
      </c>
    </row>
    <row r="91" spans="1:18" ht="13.5" customHeight="1" thickTop="1">
      <c r="A91" s="135" t="s">
        <v>348</v>
      </c>
      <c r="B91" s="117"/>
      <c r="C91" s="117"/>
      <c r="D91" s="117"/>
      <c r="E91" s="117"/>
      <c r="F91" s="117"/>
      <c r="G91" s="117"/>
      <c r="H91" s="117"/>
      <c r="I91" s="117"/>
      <c r="J91" s="127"/>
      <c r="K91" s="117"/>
      <c r="L91" s="117"/>
      <c r="M91" s="117"/>
      <c r="N91" s="117"/>
      <c r="O91" s="118"/>
      <c r="P91" s="117"/>
      <c r="Q91" s="117"/>
      <c r="R91" s="118"/>
    </row>
    <row r="92" spans="1:18" ht="13.5" customHeight="1">
      <c r="A92" s="133" t="s">
        <v>349</v>
      </c>
      <c r="B92" s="119"/>
      <c r="C92" s="119"/>
      <c r="D92" s="119"/>
      <c r="E92" s="119"/>
      <c r="F92" s="119"/>
      <c r="G92" s="119"/>
      <c r="H92" s="119"/>
      <c r="I92" s="119"/>
      <c r="J92" s="125"/>
      <c r="K92" s="119"/>
      <c r="L92" s="119"/>
      <c r="M92" s="119"/>
      <c r="N92" s="119"/>
      <c r="O92" s="113"/>
      <c r="P92" s="119"/>
      <c r="Q92" s="119"/>
      <c r="R92" s="113"/>
    </row>
    <row r="93" spans="1:18" ht="13.5" customHeight="1">
      <c r="A93" s="133" t="s">
        <v>350</v>
      </c>
      <c r="B93" s="119"/>
      <c r="C93" s="119"/>
      <c r="D93" s="119"/>
      <c r="E93" s="119"/>
      <c r="F93" s="119"/>
      <c r="G93" s="119"/>
      <c r="H93" s="119"/>
      <c r="I93" s="119"/>
      <c r="J93" s="119"/>
      <c r="K93" s="119"/>
      <c r="L93" s="119"/>
      <c r="M93" s="119"/>
      <c r="N93" s="119"/>
      <c r="O93" s="113"/>
      <c r="P93" s="119"/>
      <c r="Q93" s="119"/>
      <c r="R93" s="113"/>
    </row>
    <row r="94" spans="1:18" ht="13.5" customHeight="1">
      <c r="A94" s="133" t="s">
        <v>351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3"/>
      <c r="P94" s="119"/>
      <c r="Q94" s="119"/>
      <c r="R94" s="113"/>
    </row>
    <row r="95" spans="1:18" ht="13.5" customHeight="1">
      <c r="A95" s="133" t="s">
        <v>352</v>
      </c>
      <c r="B95" s="119"/>
      <c r="C95" s="119"/>
      <c r="D95" s="119"/>
      <c r="E95" s="119"/>
      <c r="F95" s="119"/>
      <c r="G95" s="119"/>
      <c r="H95" s="119"/>
      <c r="I95" s="119"/>
      <c r="J95" s="119"/>
      <c r="K95" s="119"/>
      <c r="L95" s="119"/>
      <c r="M95" s="119"/>
      <c r="N95" s="119"/>
      <c r="O95" s="113"/>
      <c r="P95" s="119"/>
      <c r="Q95" s="119"/>
      <c r="R95" s="113"/>
    </row>
    <row r="96" spans="1:18" ht="13.5" customHeight="1">
      <c r="A96" s="133" t="s">
        <v>353</v>
      </c>
      <c r="B96" s="119"/>
      <c r="C96" s="119"/>
      <c r="D96" s="119"/>
      <c r="E96" s="119"/>
      <c r="F96" s="119"/>
      <c r="G96" s="119"/>
      <c r="H96" s="119"/>
      <c r="I96" s="119"/>
      <c r="J96" s="119"/>
      <c r="K96" s="119"/>
      <c r="L96" s="119"/>
      <c r="M96" s="119"/>
      <c r="N96" s="119"/>
      <c r="O96" s="113"/>
      <c r="P96" s="119"/>
      <c r="Q96" s="119"/>
      <c r="R96" s="113"/>
    </row>
    <row r="97" spans="1:18" ht="13.5" customHeight="1">
      <c r="A97" s="137" t="s">
        <v>354</v>
      </c>
      <c r="B97" s="125"/>
      <c r="C97" s="125"/>
      <c r="D97" s="125"/>
      <c r="E97" s="125"/>
      <c r="F97" s="125"/>
      <c r="G97" s="125"/>
      <c r="H97" s="125"/>
      <c r="I97" s="125"/>
      <c r="J97" s="125"/>
      <c r="K97" s="125"/>
      <c r="L97" s="125"/>
      <c r="M97" s="125"/>
      <c r="N97" s="125"/>
      <c r="O97" s="126"/>
      <c r="P97" s="125"/>
      <c r="Q97" s="125"/>
      <c r="R97" s="126"/>
    </row>
    <row r="98" spans="1:18" ht="13.5" customHeight="1">
      <c r="A98" s="133" t="s">
        <v>355</v>
      </c>
      <c r="B98" s="119"/>
      <c r="C98" s="119"/>
      <c r="D98" s="119"/>
      <c r="E98" s="119"/>
      <c r="F98" s="119"/>
      <c r="G98" s="119"/>
      <c r="H98" s="119"/>
      <c r="I98" s="119"/>
      <c r="J98" s="119"/>
      <c r="K98" s="119"/>
      <c r="L98" s="119"/>
      <c r="M98" s="119"/>
      <c r="N98" s="119"/>
      <c r="O98" s="113"/>
      <c r="P98" s="119"/>
      <c r="Q98" s="119"/>
      <c r="R98" s="113"/>
    </row>
    <row r="99" spans="1:18" ht="13.5" customHeight="1">
      <c r="A99" s="137" t="s">
        <v>356</v>
      </c>
      <c r="B99" s="120"/>
      <c r="C99" s="120"/>
      <c r="D99" s="120"/>
      <c r="E99" s="120"/>
      <c r="F99" s="120"/>
      <c r="G99" s="120">
        <v>0</v>
      </c>
      <c r="H99" s="197"/>
      <c r="I99" s="120"/>
      <c r="J99" s="120"/>
      <c r="K99" s="120"/>
      <c r="L99" s="120"/>
      <c r="M99" s="120"/>
      <c r="N99" s="120"/>
      <c r="O99" s="110"/>
      <c r="P99" s="120"/>
      <c r="Q99" s="120"/>
      <c r="R99" s="257">
        <f>SUM(G99:Q99)</f>
        <v>0</v>
      </c>
    </row>
    <row r="100" spans="1:18" ht="13.5" customHeight="1">
      <c r="A100" s="133" t="s">
        <v>38</v>
      </c>
      <c r="B100" s="103"/>
      <c r="C100" s="103">
        <v>0</v>
      </c>
      <c r="D100" s="103">
        <v>0</v>
      </c>
      <c r="E100" s="103">
        <v>0</v>
      </c>
      <c r="F100" s="103">
        <v>0</v>
      </c>
      <c r="G100" s="103">
        <f>SUM(G99)</f>
        <v>0</v>
      </c>
      <c r="H100" s="103">
        <v>0</v>
      </c>
      <c r="I100" s="103">
        <v>0</v>
      </c>
      <c r="J100" s="103">
        <v>0</v>
      </c>
      <c r="K100" s="103">
        <v>0</v>
      </c>
      <c r="L100" s="103">
        <v>0</v>
      </c>
      <c r="M100" s="103">
        <v>0</v>
      </c>
      <c r="N100" s="103">
        <v>0</v>
      </c>
      <c r="O100" s="103">
        <v>0</v>
      </c>
      <c r="P100" s="103">
        <v>0</v>
      </c>
      <c r="Q100" s="103"/>
      <c r="R100" s="103">
        <f>SUM(G100)</f>
        <v>0</v>
      </c>
    </row>
    <row r="101" spans="1:18" ht="13.5" customHeight="1" thickBot="1">
      <c r="A101" s="134" t="s">
        <v>39</v>
      </c>
      <c r="B101" s="136"/>
      <c r="C101" s="136">
        <v>0</v>
      </c>
      <c r="D101" s="136">
        <v>0</v>
      </c>
      <c r="E101" s="136">
        <v>0</v>
      </c>
      <c r="F101" s="136">
        <v>0</v>
      </c>
      <c r="G101" s="136">
        <f>19000</f>
        <v>19000</v>
      </c>
      <c r="H101" s="136">
        <v>0</v>
      </c>
      <c r="I101" s="136">
        <v>0</v>
      </c>
      <c r="J101" s="136">
        <v>0</v>
      </c>
      <c r="K101" s="136">
        <v>0</v>
      </c>
      <c r="L101" s="136">
        <v>0</v>
      </c>
      <c r="M101" s="136">
        <v>0</v>
      </c>
      <c r="N101" s="136">
        <v>0</v>
      </c>
      <c r="O101" s="136">
        <v>0</v>
      </c>
      <c r="P101" s="136">
        <v>0</v>
      </c>
      <c r="Q101" s="136"/>
      <c r="R101" s="116">
        <f>SUM(C101:Q101)</f>
        <v>19000</v>
      </c>
    </row>
    <row r="102" spans="1:18" ht="13.5" customHeight="1" thickTop="1">
      <c r="A102" s="137" t="s">
        <v>357</v>
      </c>
      <c r="B102" s="125"/>
      <c r="C102" s="125"/>
      <c r="D102" s="125"/>
      <c r="E102" s="125"/>
      <c r="F102" s="125"/>
      <c r="G102" s="125"/>
      <c r="H102" s="125"/>
      <c r="I102" s="125"/>
      <c r="J102" s="125"/>
      <c r="K102" s="125"/>
      <c r="L102" s="125"/>
      <c r="M102" s="125"/>
      <c r="N102" s="126"/>
      <c r="O102" s="126"/>
      <c r="P102" s="126"/>
      <c r="Q102" s="126"/>
      <c r="R102" s="127"/>
    </row>
    <row r="103" spans="1:18" ht="13.5" customHeight="1">
      <c r="A103" s="137" t="s">
        <v>358</v>
      </c>
      <c r="B103" s="125"/>
      <c r="C103" s="125"/>
      <c r="D103" s="125"/>
      <c r="E103" s="125"/>
      <c r="F103" s="125"/>
      <c r="G103" s="125"/>
      <c r="H103" s="125"/>
      <c r="I103" s="125"/>
      <c r="J103" s="125"/>
      <c r="K103" s="125"/>
      <c r="L103" s="125"/>
      <c r="M103" s="125"/>
      <c r="N103" s="125"/>
      <c r="O103" s="126"/>
      <c r="P103" s="125"/>
      <c r="Q103" s="125"/>
      <c r="R103" s="126"/>
    </row>
    <row r="104" spans="1:18" ht="13.5" customHeight="1">
      <c r="A104" s="137" t="s">
        <v>359</v>
      </c>
      <c r="B104" s="125"/>
      <c r="C104" s="125"/>
      <c r="D104" s="125"/>
      <c r="E104" s="125"/>
      <c r="F104" s="125"/>
      <c r="G104" s="125"/>
      <c r="H104" s="125"/>
      <c r="I104" s="125"/>
      <c r="J104" s="125"/>
      <c r="K104" s="125"/>
      <c r="L104" s="125"/>
      <c r="M104" s="125"/>
      <c r="N104" s="125"/>
      <c r="O104" s="126"/>
      <c r="P104" s="125"/>
      <c r="Q104" s="125"/>
      <c r="R104" s="126"/>
    </row>
    <row r="105" spans="1:18" ht="13.5" customHeight="1">
      <c r="A105" s="133" t="s">
        <v>360</v>
      </c>
      <c r="B105" s="119"/>
      <c r="C105" s="119"/>
      <c r="D105" s="119"/>
      <c r="E105" s="119"/>
      <c r="F105" s="119"/>
      <c r="G105" s="119"/>
      <c r="H105" s="119"/>
      <c r="I105" s="119"/>
      <c r="J105" s="119"/>
      <c r="K105" s="119"/>
      <c r="L105" s="119"/>
      <c r="M105" s="119"/>
      <c r="N105" s="119"/>
      <c r="O105" s="113"/>
      <c r="P105" s="119"/>
      <c r="Q105" s="119"/>
      <c r="R105" s="113"/>
    </row>
    <row r="106" spans="1:18" ht="13.5" customHeight="1">
      <c r="A106" s="133" t="s">
        <v>38</v>
      </c>
      <c r="B106" s="103"/>
      <c r="C106" s="103">
        <f>SUM(C104:C105)</f>
        <v>0</v>
      </c>
      <c r="D106" s="103">
        <v>0</v>
      </c>
      <c r="E106" s="103">
        <v>0</v>
      </c>
      <c r="F106" s="103">
        <v>0</v>
      </c>
      <c r="G106" s="103">
        <v>0</v>
      </c>
      <c r="H106" s="103">
        <v>0</v>
      </c>
      <c r="I106" s="103">
        <v>0</v>
      </c>
      <c r="J106" s="103">
        <v>0</v>
      </c>
      <c r="K106" s="103">
        <v>0</v>
      </c>
      <c r="L106" s="103">
        <v>0</v>
      </c>
      <c r="M106" s="103">
        <v>0</v>
      </c>
      <c r="N106" s="103">
        <v>0</v>
      </c>
      <c r="O106" s="103">
        <v>0</v>
      </c>
      <c r="P106" s="103">
        <v>0</v>
      </c>
      <c r="Q106" s="103"/>
      <c r="R106" s="103">
        <f>SUM(C106:P106)</f>
        <v>0</v>
      </c>
    </row>
    <row r="107" spans="1:18" ht="13.5" customHeight="1" thickBot="1">
      <c r="A107" s="134" t="s">
        <v>39</v>
      </c>
      <c r="B107" s="136"/>
      <c r="C107" s="136">
        <v>0</v>
      </c>
      <c r="D107" s="136">
        <v>0</v>
      </c>
      <c r="E107" s="136">
        <v>0</v>
      </c>
      <c r="F107" s="136">
        <v>0</v>
      </c>
      <c r="G107" s="136">
        <v>0</v>
      </c>
      <c r="H107" s="136">
        <v>0</v>
      </c>
      <c r="I107" s="136">
        <v>0</v>
      </c>
      <c r="J107" s="136">
        <v>0</v>
      </c>
      <c r="K107" s="136">
        <v>0</v>
      </c>
      <c r="L107" s="136">
        <v>0</v>
      </c>
      <c r="M107" s="136">
        <v>0</v>
      </c>
      <c r="N107" s="136">
        <v>0</v>
      </c>
      <c r="O107" s="136">
        <v>0</v>
      </c>
      <c r="P107" s="136">
        <v>0</v>
      </c>
      <c r="Q107" s="136"/>
      <c r="R107" s="116">
        <f>SUM(C107:P107)</f>
        <v>0</v>
      </c>
    </row>
    <row r="108" spans="1:18" ht="13.5" customHeight="1" thickTop="1">
      <c r="A108" s="137" t="s">
        <v>361</v>
      </c>
      <c r="B108" s="125"/>
      <c r="C108" s="125"/>
      <c r="D108" s="125"/>
      <c r="E108" s="125"/>
      <c r="F108" s="125"/>
      <c r="G108" s="125"/>
      <c r="H108" s="125"/>
      <c r="I108" s="125"/>
      <c r="J108" s="125"/>
      <c r="K108" s="125"/>
      <c r="L108" s="125"/>
      <c r="M108" s="126"/>
      <c r="N108" s="125"/>
      <c r="O108" s="127"/>
      <c r="P108" s="125"/>
      <c r="Q108" s="125"/>
      <c r="R108" s="113"/>
    </row>
    <row r="109" spans="1:18" ht="13.5" customHeight="1">
      <c r="A109" s="137" t="s">
        <v>362</v>
      </c>
      <c r="B109" s="113"/>
      <c r="C109" s="119">
        <v>0</v>
      </c>
      <c r="D109" s="119"/>
      <c r="E109" s="119"/>
      <c r="F109" s="119"/>
      <c r="G109" s="119"/>
      <c r="H109" s="119"/>
      <c r="I109" s="119"/>
      <c r="J109" s="119"/>
      <c r="K109" s="119"/>
      <c r="L109" s="119"/>
      <c r="M109" s="119"/>
      <c r="N109" s="119"/>
      <c r="O109" s="113"/>
      <c r="P109" s="119"/>
      <c r="Q109" s="119"/>
      <c r="R109" s="113">
        <f>SUM(C109:Q109)</f>
        <v>0</v>
      </c>
    </row>
    <row r="110" spans="1:18" ht="13.5" customHeight="1">
      <c r="A110" s="137" t="s">
        <v>363</v>
      </c>
      <c r="B110" s="120"/>
      <c r="C110" s="119"/>
      <c r="D110" s="119"/>
      <c r="E110" s="119"/>
      <c r="F110" s="119"/>
      <c r="G110" s="119"/>
      <c r="H110" s="119">
        <v>0</v>
      </c>
      <c r="I110" s="119"/>
      <c r="J110" s="119"/>
      <c r="K110" s="119"/>
      <c r="L110" s="119"/>
      <c r="M110" s="119"/>
      <c r="N110" s="119"/>
      <c r="O110" s="119">
        <v>0</v>
      </c>
      <c r="P110" s="113"/>
      <c r="Q110" s="113"/>
      <c r="R110" s="113">
        <f>SUM(C110:P110)</f>
        <v>0</v>
      </c>
    </row>
    <row r="111" spans="1:18" ht="13.5" customHeight="1">
      <c r="A111" s="133" t="s">
        <v>364</v>
      </c>
      <c r="B111" s="119"/>
      <c r="C111" s="119"/>
      <c r="D111" s="119"/>
      <c r="E111" s="119"/>
      <c r="F111" s="119"/>
      <c r="G111" s="119"/>
      <c r="H111" s="119"/>
      <c r="I111" s="119"/>
      <c r="J111" s="119"/>
      <c r="K111" s="119"/>
      <c r="L111" s="119"/>
      <c r="M111" s="119"/>
      <c r="N111" s="119"/>
      <c r="O111" s="119"/>
      <c r="P111" s="113"/>
      <c r="Q111" s="113"/>
      <c r="R111" s="113">
        <f>SUM(C111:P111)</f>
        <v>0</v>
      </c>
    </row>
    <row r="112" spans="1:18" ht="13.5" customHeight="1">
      <c r="A112" s="133" t="s">
        <v>38</v>
      </c>
      <c r="B112" s="103"/>
      <c r="C112" s="103">
        <f>SUM(C109:C111)</f>
        <v>0</v>
      </c>
      <c r="D112" s="103">
        <v>0</v>
      </c>
      <c r="E112" s="103">
        <v>0</v>
      </c>
      <c r="F112" s="103">
        <v>0</v>
      </c>
      <c r="G112" s="103">
        <v>0</v>
      </c>
      <c r="H112" s="103">
        <f>SUM(H110)</f>
        <v>0</v>
      </c>
      <c r="I112" s="103">
        <v>0</v>
      </c>
      <c r="J112" s="103">
        <v>0</v>
      </c>
      <c r="K112" s="103">
        <v>0</v>
      </c>
      <c r="L112" s="103">
        <v>0</v>
      </c>
      <c r="M112" s="103">
        <f>SUM(M108:M111)</f>
        <v>0</v>
      </c>
      <c r="N112" s="103">
        <f>SUM(N110:N111)</f>
        <v>0</v>
      </c>
      <c r="O112" s="103">
        <f>SUM(O110:O111)</f>
        <v>0</v>
      </c>
      <c r="P112" s="103">
        <f>SUM(P108:P111)</f>
        <v>0</v>
      </c>
      <c r="Q112" s="103"/>
      <c r="R112" s="103">
        <f>SUM(C112:P112)</f>
        <v>0</v>
      </c>
    </row>
    <row r="113" spans="1:18" ht="13.5" customHeight="1" thickBot="1">
      <c r="A113" s="134" t="s">
        <v>39</v>
      </c>
      <c r="B113" s="136"/>
      <c r="C113" s="136">
        <f>9000</f>
        <v>9000</v>
      </c>
      <c r="D113" s="136">
        <v>0</v>
      </c>
      <c r="E113" s="136">
        <v>0</v>
      </c>
      <c r="F113" s="136">
        <v>0</v>
      </c>
      <c r="G113" s="136">
        <v>0</v>
      </c>
      <c r="H113" s="136">
        <f>1058000</f>
        <v>1058000</v>
      </c>
      <c r="I113" s="136">
        <v>0</v>
      </c>
      <c r="J113" s="136">
        <v>0</v>
      </c>
      <c r="K113" s="136">
        <v>0</v>
      </c>
      <c r="L113" s="136">
        <v>0</v>
      </c>
      <c r="M113" s="136">
        <v>0</v>
      </c>
      <c r="N113" s="136">
        <f>SUM(N111:N112)</f>
        <v>0</v>
      </c>
      <c r="O113" s="136">
        <v>0</v>
      </c>
      <c r="P113" s="136">
        <v>0</v>
      </c>
      <c r="Q113" s="136"/>
      <c r="R113" s="136">
        <f>SUM(C113:P113)</f>
        <v>1067000</v>
      </c>
    </row>
    <row r="114" spans="1:18" ht="13.5" customHeight="1" thickTop="1">
      <c r="A114" s="137" t="s">
        <v>365</v>
      </c>
      <c r="B114" s="120"/>
      <c r="C114" s="125"/>
      <c r="D114" s="125"/>
      <c r="E114" s="125"/>
      <c r="F114" s="125"/>
      <c r="G114" s="125"/>
      <c r="H114" s="125"/>
      <c r="I114" s="125"/>
      <c r="J114" s="125"/>
      <c r="K114" s="125"/>
      <c r="L114" s="125"/>
      <c r="M114" s="125"/>
      <c r="N114" s="125"/>
      <c r="O114" s="126"/>
      <c r="P114" s="125"/>
      <c r="Q114" s="125"/>
      <c r="R114" s="126"/>
    </row>
    <row r="115" spans="1:18" ht="13.5" customHeight="1">
      <c r="A115" s="137" t="s">
        <v>366</v>
      </c>
      <c r="B115" s="121"/>
      <c r="C115" s="120"/>
      <c r="D115" s="120">
        <v>0</v>
      </c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  <c r="O115" s="110"/>
      <c r="P115" s="120"/>
      <c r="Q115" s="120"/>
      <c r="R115" s="110">
        <f>SUM(B115:P115)</f>
        <v>0</v>
      </c>
    </row>
    <row r="116" spans="1:18" ht="13.5" customHeight="1">
      <c r="A116" s="133" t="s">
        <v>38</v>
      </c>
      <c r="B116" s="103">
        <v>0</v>
      </c>
      <c r="C116" s="103">
        <v>0</v>
      </c>
      <c r="D116" s="103">
        <f>SUM(D115)</f>
        <v>0</v>
      </c>
      <c r="E116" s="103">
        <v>0</v>
      </c>
      <c r="F116" s="103">
        <v>0</v>
      </c>
      <c r="G116" s="103">
        <v>0</v>
      </c>
      <c r="H116" s="103">
        <v>0</v>
      </c>
      <c r="I116" s="103">
        <v>0</v>
      </c>
      <c r="J116" s="103">
        <v>0</v>
      </c>
      <c r="K116" s="103">
        <v>0</v>
      </c>
      <c r="L116" s="103">
        <v>0</v>
      </c>
      <c r="M116" s="103">
        <v>0</v>
      </c>
      <c r="N116" s="103">
        <v>0</v>
      </c>
      <c r="O116" s="103">
        <v>0</v>
      </c>
      <c r="P116" s="103">
        <v>0</v>
      </c>
      <c r="Q116" s="103"/>
      <c r="R116" s="103">
        <f>SUM(B116:P116)</f>
        <v>0</v>
      </c>
    </row>
    <row r="117" spans="1:18" ht="13.5" customHeight="1" thickBot="1">
      <c r="A117" s="134" t="s">
        <v>39</v>
      </c>
      <c r="B117" s="136">
        <v>0</v>
      </c>
      <c r="C117" s="136">
        <v>0</v>
      </c>
      <c r="D117" s="136">
        <v>0</v>
      </c>
      <c r="E117" s="136">
        <v>0</v>
      </c>
      <c r="F117" s="136">
        <v>0</v>
      </c>
      <c r="G117" s="136">
        <v>0</v>
      </c>
      <c r="H117" s="136">
        <v>0</v>
      </c>
      <c r="I117" s="136">
        <v>0</v>
      </c>
      <c r="J117" s="136">
        <v>0</v>
      </c>
      <c r="K117" s="136">
        <v>0</v>
      </c>
      <c r="L117" s="136">
        <v>0</v>
      </c>
      <c r="M117" s="136">
        <v>0</v>
      </c>
      <c r="N117" s="136">
        <v>0</v>
      </c>
      <c r="O117" s="136">
        <v>0</v>
      </c>
      <c r="P117" s="136">
        <v>0</v>
      </c>
      <c r="Q117" s="136"/>
      <c r="R117" s="136">
        <f>SUM(B117:P117)</f>
        <v>0</v>
      </c>
    </row>
    <row r="118" spans="1:18" ht="13.5" customHeight="1" thickTop="1">
      <c r="A118" s="133" t="s">
        <v>38</v>
      </c>
      <c r="B118" s="115">
        <f>SUM(B13)</f>
        <v>129628</v>
      </c>
      <c r="C118" s="103">
        <f>SUM(C22+C28+C33+C46+C54+C61+C76+C89)</f>
        <v>832644.71</v>
      </c>
      <c r="D118" s="196">
        <v>0</v>
      </c>
      <c r="E118" s="196">
        <f>SUM(E28+E46+E54+E61+E76+E89+E100+E106+E112+E116)</f>
        <v>107619</v>
      </c>
      <c r="F118" s="196">
        <f>SUM(F61)</f>
        <v>12000</v>
      </c>
      <c r="G118" s="196">
        <f>G28+G46+G54+G61+G76+G89</f>
        <v>72826.26</v>
      </c>
      <c r="H118" s="196">
        <f>SUM(H61+H76+H89+H100+H106+H112)</f>
        <v>106010.06</v>
      </c>
      <c r="I118" s="196">
        <f>I46</f>
        <v>9000</v>
      </c>
      <c r="J118" s="196">
        <f>SUM(J59)</f>
        <v>132250</v>
      </c>
      <c r="K118" s="196">
        <v>0</v>
      </c>
      <c r="L118" s="196">
        <f>SUM(L13+L22+L28+L33+L46+L54+L61+L76+L89+L100+L106+L112+L116)</f>
        <v>99360</v>
      </c>
      <c r="M118" s="196">
        <v>0</v>
      </c>
      <c r="N118" s="196">
        <v>0</v>
      </c>
      <c r="O118" s="196">
        <f>SUM(O61)</f>
        <v>0</v>
      </c>
      <c r="P118" s="196">
        <v>0</v>
      </c>
      <c r="Q118" s="196"/>
      <c r="R118" s="115">
        <f>SUM(B118:Q118)</f>
        <v>1501338.03</v>
      </c>
    </row>
    <row r="119" spans="1:18" ht="13.5" customHeight="1" thickBot="1">
      <c r="A119" s="134" t="s">
        <v>39</v>
      </c>
      <c r="B119" s="116">
        <f>SUM(B14)</f>
        <v>379983</v>
      </c>
      <c r="C119" s="136">
        <f>SUM(C23+C29+C34+C47+C55+C62+C77+C90+C113)</f>
        <v>2282511.06</v>
      </c>
      <c r="D119" s="136">
        <v>0</v>
      </c>
      <c r="E119" s="136">
        <f>E29+E47+E55+E62+E77</f>
        <v>458892</v>
      </c>
      <c r="F119" s="136">
        <f>F62</f>
        <v>17300</v>
      </c>
      <c r="G119" s="136">
        <f>G29+G47+G55+G62+G77+G90+G101</f>
        <v>276495.49</v>
      </c>
      <c r="H119" s="136">
        <f>SUM(H62+H77+H113)</f>
        <v>1252720.78</v>
      </c>
      <c r="I119" s="136">
        <f>I47</f>
        <v>36000</v>
      </c>
      <c r="J119" s="136">
        <f>SUM(J62)</f>
        <v>132250</v>
      </c>
      <c r="K119" s="136">
        <v>0</v>
      </c>
      <c r="L119" s="136">
        <f>SUM(L29+L47+L55+L62)</f>
        <v>270825</v>
      </c>
      <c r="M119" s="136">
        <v>0</v>
      </c>
      <c r="N119" s="136">
        <v>0</v>
      </c>
      <c r="O119" s="136">
        <f>SUM(O62)</f>
        <v>95555</v>
      </c>
      <c r="P119" s="136">
        <v>0</v>
      </c>
      <c r="Q119" s="136"/>
      <c r="R119" s="116">
        <f>SUM(B119:Q119)</f>
        <v>5202532.33</v>
      </c>
    </row>
    <row r="120" ht="15" thickTop="1"/>
  </sheetData>
  <sheetProtection/>
  <mergeCells count="27">
    <mergeCell ref="P41:Q41"/>
    <mergeCell ref="P81:Q81"/>
    <mergeCell ref="B81:B82"/>
    <mergeCell ref="R5:R6"/>
    <mergeCell ref="R41:R42"/>
    <mergeCell ref="R81:R82"/>
    <mergeCell ref="N41:O41"/>
    <mergeCell ref="C81:E81"/>
    <mergeCell ref="I81:J81"/>
    <mergeCell ref="L81:M81"/>
    <mergeCell ref="N81:O81"/>
    <mergeCell ref="G81:H81"/>
    <mergeCell ref="A1:R1"/>
    <mergeCell ref="A2:R2"/>
    <mergeCell ref="N5:O5"/>
    <mergeCell ref="B5:B6"/>
    <mergeCell ref="C5:E5"/>
    <mergeCell ref="A3:R3"/>
    <mergeCell ref="G5:H5"/>
    <mergeCell ref="P5:Q5"/>
    <mergeCell ref="B41:B42"/>
    <mergeCell ref="C41:E41"/>
    <mergeCell ref="I41:J41"/>
    <mergeCell ref="L41:M41"/>
    <mergeCell ref="G41:H41"/>
    <mergeCell ref="I5:J5"/>
    <mergeCell ref="L5:M5"/>
  </mergeCells>
  <printOptions/>
  <pageMargins left="0.1968503937007874" right="0.1968503937007874" top="0.2362204724409449" bottom="0.1968503937007874" header="0.2755905511811024" footer="0.1968503937007874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114"/>
  <sheetViews>
    <sheetView view="pageBreakPreview" zoomScaleSheetLayoutView="100" zoomScalePageLayoutView="0" workbookViewId="0" topLeftCell="A64">
      <selection activeCell="C103" sqref="C103"/>
    </sheetView>
  </sheetViews>
  <sheetFormatPr defaultColWidth="9.140625" defaultRowHeight="12.75"/>
  <cols>
    <col min="1" max="1" width="12.421875" style="111" customWidth="1"/>
    <col min="2" max="2" width="7.7109375" style="124" customWidth="1"/>
    <col min="3" max="3" width="7.57421875" style="124" customWidth="1"/>
    <col min="4" max="4" width="7.7109375" style="124" customWidth="1"/>
    <col min="5" max="6" width="7.421875" style="124" customWidth="1"/>
    <col min="7" max="7" width="7.57421875" style="124" customWidth="1"/>
    <col min="8" max="9" width="7.421875" style="124" customWidth="1"/>
    <col min="10" max="10" width="7.28125" style="124" customWidth="1"/>
    <col min="11" max="11" width="7.140625" style="124" customWidth="1"/>
    <col min="12" max="12" width="7.421875" style="124" customWidth="1"/>
    <col min="13" max="13" width="7.140625" style="124" customWidth="1"/>
    <col min="14" max="14" width="7.421875" style="124" customWidth="1"/>
    <col min="15" max="15" width="7.57421875" style="124" customWidth="1"/>
    <col min="16" max="16" width="7.421875" style="104" customWidth="1"/>
    <col min="17" max="17" width="7.57421875" style="104" customWidth="1"/>
    <col min="18" max="18" width="9.7109375" style="104" customWidth="1"/>
    <col min="19" max="16384" width="9.140625" style="105" customWidth="1"/>
  </cols>
  <sheetData>
    <row r="1" spans="1:18" ht="16.5">
      <c r="A1" s="325" t="s">
        <v>100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</row>
    <row r="2" spans="1:18" ht="16.5">
      <c r="A2" s="325" t="s">
        <v>120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</row>
    <row r="3" spans="1:18" ht="16.5">
      <c r="A3" s="326" t="s">
        <v>475</v>
      </c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6"/>
      <c r="Q3" s="326"/>
      <c r="R3" s="326"/>
    </row>
    <row r="4" s="168" customFormat="1" ht="14.25">
      <c r="Q4" s="249"/>
    </row>
    <row r="5" spans="1:18" s="107" customFormat="1" ht="14.25">
      <c r="A5" s="108" t="s">
        <v>125</v>
      </c>
      <c r="B5" s="323" t="s">
        <v>101</v>
      </c>
      <c r="C5" s="324" t="s">
        <v>102</v>
      </c>
      <c r="D5" s="324"/>
      <c r="E5" s="324"/>
      <c r="F5" s="130" t="s">
        <v>103</v>
      </c>
      <c r="G5" s="324" t="s">
        <v>104</v>
      </c>
      <c r="H5" s="324"/>
      <c r="I5" s="324" t="s">
        <v>105</v>
      </c>
      <c r="J5" s="324"/>
      <c r="K5" s="130" t="s">
        <v>106</v>
      </c>
      <c r="L5" s="324" t="s">
        <v>107</v>
      </c>
      <c r="M5" s="324"/>
      <c r="N5" s="324" t="s">
        <v>108</v>
      </c>
      <c r="O5" s="324"/>
      <c r="P5" s="327" t="s">
        <v>123</v>
      </c>
      <c r="Q5" s="328"/>
      <c r="R5" s="329" t="s">
        <v>20</v>
      </c>
    </row>
    <row r="6" spans="1:18" s="107" customFormat="1" ht="14.25">
      <c r="A6" s="109" t="s">
        <v>126</v>
      </c>
      <c r="B6" s="323"/>
      <c r="C6" s="130" t="s">
        <v>109</v>
      </c>
      <c r="D6" s="130" t="s">
        <v>121</v>
      </c>
      <c r="E6" s="130" t="s">
        <v>110</v>
      </c>
      <c r="F6" s="130" t="s">
        <v>111</v>
      </c>
      <c r="G6" s="130" t="s">
        <v>112</v>
      </c>
      <c r="H6" s="130" t="s">
        <v>113</v>
      </c>
      <c r="I6" s="130" t="s">
        <v>114</v>
      </c>
      <c r="J6" s="130" t="s">
        <v>115</v>
      </c>
      <c r="K6" s="130" t="s">
        <v>122</v>
      </c>
      <c r="L6" s="130" t="s">
        <v>116</v>
      </c>
      <c r="M6" s="130" t="s">
        <v>117</v>
      </c>
      <c r="N6" s="130" t="s">
        <v>118</v>
      </c>
      <c r="O6" s="130" t="s">
        <v>119</v>
      </c>
      <c r="P6" s="130" t="s">
        <v>367</v>
      </c>
      <c r="Q6" s="250" t="s">
        <v>124</v>
      </c>
      <c r="R6" s="330"/>
    </row>
    <row r="7" spans="1:18" ht="14.25">
      <c r="A7" s="131" t="s">
        <v>296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</row>
    <row r="8" spans="1:18" ht="14.25">
      <c r="A8" s="132" t="s">
        <v>297</v>
      </c>
      <c r="B8" s="110">
        <f>110000-8460-8460-12128</f>
        <v>80952</v>
      </c>
      <c r="C8" s="110" t="s">
        <v>291</v>
      </c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>
        <f>SUM(B8:P8)</f>
        <v>80952</v>
      </c>
    </row>
    <row r="9" spans="1:18" ht="14.25">
      <c r="A9" s="133" t="s">
        <v>298</v>
      </c>
      <c r="B9" s="113">
        <f>40000-1500-1000-2500-2500-2500</f>
        <v>30000</v>
      </c>
      <c r="C9" s="113"/>
      <c r="D9" s="113"/>
      <c r="E9" s="113"/>
      <c r="F9" s="113" t="s">
        <v>291</v>
      </c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>
        <f>SUM(B9:Q9)</f>
        <v>30000</v>
      </c>
    </row>
    <row r="10" spans="1:18" ht="14.25">
      <c r="A10" s="133" t="s">
        <v>299</v>
      </c>
      <c r="B10" s="113">
        <f>261795-84000-15000</f>
        <v>162795</v>
      </c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>
        <f>SUM(B10:P10)</f>
        <v>162795</v>
      </c>
    </row>
    <row r="11" spans="1:18" ht="14.25">
      <c r="A11" s="133" t="s">
        <v>300</v>
      </c>
      <c r="B11" s="113">
        <f>120000-100000</f>
        <v>20000</v>
      </c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>
        <f>SUM(B11:P11)</f>
        <v>20000</v>
      </c>
    </row>
    <row r="12" spans="1:18" ht="14.25">
      <c r="A12" s="133" t="s">
        <v>301</v>
      </c>
      <c r="B12" s="129">
        <f>141935-141935</f>
        <v>0</v>
      </c>
      <c r="C12" s="241"/>
      <c r="D12" s="241"/>
      <c r="E12" s="241"/>
      <c r="F12" s="241"/>
      <c r="G12" s="241"/>
      <c r="H12" s="241"/>
      <c r="I12" s="241"/>
      <c r="J12" s="241"/>
      <c r="K12" s="241"/>
      <c r="L12" s="241"/>
      <c r="M12" s="241"/>
      <c r="N12" s="241"/>
      <c r="O12" s="241"/>
      <c r="P12" s="241"/>
      <c r="Q12" s="241"/>
      <c r="R12" s="241"/>
    </row>
    <row r="13" spans="1:18" ht="15" thickBot="1">
      <c r="A13" s="133" t="s">
        <v>38</v>
      </c>
      <c r="B13" s="115">
        <f>SUM(B8:B12)</f>
        <v>293747</v>
      </c>
      <c r="C13" s="103">
        <v>0</v>
      </c>
      <c r="D13" s="103">
        <v>0</v>
      </c>
      <c r="E13" s="103">
        <v>0</v>
      </c>
      <c r="F13" s="103">
        <v>0</v>
      </c>
      <c r="G13" s="103">
        <v>0</v>
      </c>
      <c r="H13" s="103">
        <v>0</v>
      </c>
      <c r="I13" s="103">
        <v>0</v>
      </c>
      <c r="J13" s="103">
        <v>0</v>
      </c>
      <c r="K13" s="103">
        <v>0</v>
      </c>
      <c r="L13" s="103">
        <v>0</v>
      </c>
      <c r="M13" s="103">
        <v>0</v>
      </c>
      <c r="N13" s="103">
        <v>0</v>
      </c>
      <c r="O13" s="103">
        <v>0</v>
      </c>
      <c r="P13" s="103">
        <v>0</v>
      </c>
      <c r="Q13" s="103"/>
      <c r="R13" s="115">
        <f>SUM(B13:P13)</f>
        <v>293747</v>
      </c>
    </row>
    <row r="14" spans="1:18" ht="15" thickTop="1">
      <c r="A14" s="135" t="s">
        <v>302</v>
      </c>
      <c r="B14" s="117"/>
      <c r="C14" s="12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8"/>
      <c r="P14" s="117"/>
      <c r="Q14" s="117"/>
      <c r="R14" s="118"/>
    </row>
    <row r="15" spans="1:18" ht="14.25">
      <c r="A15" s="133" t="s">
        <v>303</v>
      </c>
      <c r="B15" s="119"/>
      <c r="C15" s="113">
        <f>553300-42840-42840-42840-42840</f>
        <v>381940</v>
      </c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3"/>
      <c r="P15" s="119"/>
      <c r="Q15" s="119"/>
      <c r="R15" s="113">
        <f aca="true" t="shared" si="0" ref="R15:R21">SUM(C15:P15)</f>
        <v>381940</v>
      </c>
    </row>
    <row r="16" spans="1:18" ht="14.25">
      <c r="A16" s="132" t="s">
        <v>304</v>
      </c>
      <c r="B16" s="120"/>
      <c r="C16" s="120">
        <f>43000-3510-3510-3510-3510</f>
        <v>28960</v>
      </c>
      <c r="D16" s="120"/>
      <c r="E16" s="120">
        <v>0</v>
      </c>
      <c r="F16" s="120"/>
      <c r="G16" s="120">
        <v>0</v>
      </c>
      <c r="H16" s="120"/>
      <c r="I16" s="120"/>
      <c r="J16" s="120"/>
      <c r="K16" s="120"/>
      <c r="L16" s="120">
        <v>0</v>
      </c>
      <c r="M16" s="120"/>
      <c r="N16" s="120"/>
      <c r="O16" s="110"/>
      <c r="P16" s="120"/>
      <c r="Q16" s="120"/>
      <c r="R16" s="110">
        <f t="shared" si="0"/>
        <v>28960</v>
      </c>
    </row>
    <row r="17" spans="1:18" ht="14.25">
      <c r="A17" s="133" t="s">
        <v>305</v>
      </c>
      <c r="B17" s="119"/>
      <c r="C17" s="119">
        <f>43000-3510-3510-3510-3510</f>
        <v>28960</v>
      </c>
      <c r="D17" s="119"/>
      <c r="E17" s="119">
        <v>0</v>
      </c>
      <c r="F17" s="119"/>
      <c r="G17" s="119">
        <v>0</v>
      </c>
      <c r="H17" s="119"/>
      <c r="I17" s="119"/>
      <c r="J17" s="119"/>
      <c r="K17" s="119"/>
      <c r="L17" s="119">
        <v>0</v>
      </c>
      <c r="M17" s="119"/>
      <c r="N17" s="119"/>
      <c r="O17" s="113"/>
      <c r="P17" s="119"/>
      <c r="Q17" s="119"/>
      <c r="R17" s="113">
        <f t="shared" si="0"/>
        <v>28960</v>
      </c>
    </row>
    <row r="18" spans="1:18" ht="14.25">
      <c r="A18" s="133" t="s">
        <v>306</v>
      </c>
      <c r="B18" s="119"/>
      <c r="C18" s="113">
        <f>87000-7200-7200-7200-7200</f>
        <v>58200</v>
      </c>
      <c r="D18" s="119"/>
      <c r="E18" s="119">
        <v>0</v>
      </c>
      <c r="F18" s="119"/>
      <c r="G18" s="119"/>
      <c r="H18" s="119"/>
      <c r="I18" s="119"/>
      <c r="J18" s="119"/>
      <c r="K18" s="119"/>
      <c r="L18" s="119">
        <v>0</v>
      </c>
      <c r="M18" s="119"/>
      <c r="N18" s="119"/>
      <c r="O18" s="113"/>
      <c r="P18" s="119"/>
      <c r="Q18" s="119"/>
      <c r="R18" s="113">
        <f t="shared" si="0"/>
        <v>58200</v>
      </c>
    </row>
    <row r="19" spans="1:18" ht="14.25">
      <c r="A19" s="132" t="s">
        <v>307</v>
      </c>
      <c r="B19" s="120"/>
      <c r="C19" s="120">
        <f>2200000-178800-178800-178800-178800</f>
        <v>1484800</v>
      </c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10"/>
      <c r="P19" s="120"/>
      <c r="Q19" s="120"/>
      <c r="R19" s="110">
        <f t="shared" si="0"/>
        <v>1484800</v>
      </c>
    </row>
    <row r="20" spans="1:18" ht="14.25">
      <c r="A20" s="133" t="s">
        <v>308</v>
      </c>
      <c r="B20" s="119"/>
      <c r="C20" s="113">
        <f>87000-7200-7200-7200-7200</f>
        <v>58200</v>
      </c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3"/>
      <c r="P20" s="119"/>
      <c r="Q20" s="119"/>
      <c r="R20" s="113">
        <f t="shared" si="0"/>
        <v>58200</v>
      </c>
    </row>
    <row r="21" spans="1:18" ht="15" thickBot="1">
      <c r="A21" s="133" t="s">
        <v>38</v>
      </c>
      <c r="B21" s="136"/>
      <c r="C21" s="123">
        <f>SUM(C15:C20)</f>
        <v>2041060</v>
      </c>
      <c r="D21" s="136">
        <v>0</v>
      </c>
      <c r="E21" s="136">
        <v>0</v>
      </c>
      <c r="F21" s="136">
        <v>0</v>
      </c>
      <c r="G21" s="136">
        <v>0</v>
      </c>
      <c r="H21" s="136">
        <v>0</v>
      </c>
      <c r="I21" s="136">
        <v>0</v>
      </c>
      <c r="J21" s="136">
        <v>0</v>
      </c>
      <c r="K21" s="136">
        <v>0</v>
      </c>
      <c r="L21" s="136">
        <v>0</v>
      </c>
      <c r="M21" s="136">
        <v>0</v>
      </c>
      <c r="N21" s="136">
        <v>0</v>
      </c>
      <c r="O21" s="136">
        <v>0</v>
      </c>
      <c r="P21" s="136">
        <v>0</v>
      </c>
      <c r="Q21" s="136"/>
      <c r="R21" s="116">
        <f t="shared" si="0"/>
        <v>2041060</v>
      </c>
    </row>
    <row r="22" spans="1:18" ht="15" thickTop="1">
      <c r="A22" s="132" t="s">
        <v>309</v>
      </c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6"/>
      <c r="P22" s="120"/>
      <c r="Q22" s="120"/>
      <c r="R22" s="110"/>
    </row>
    <row r="23" spans="1:18" ht="14.25">
      <c r="A23" s="133" t="s">
        <v>310</v>
      </c>
      <c r="B23" s="119"/>
      <c r="C23" s="119">
        <f>1450000-102230-102630-102430-205659-70000</f>
        <v>867051</v>
      </c>
      <c r="D23" s="119"/>
      <c r="E23" s="119">
        <f>950000-62040-62040-62040-67767</f>
        <v>696113</v>
      </c>
      <c r="F23" s="119"/>
      <c r="G23" s="119">
        <f>180000-14300-14300-14300-24463</f>
        <v>112637</v>
      </c>
      <c r="H23" s="119"/>
      <c r="I23" s="119"/>
      <c r="J23" s="119"/>
      <c r="K23" s="119"/>
      <c r="L23" s="119">
        <f>450000-32560-32560-32560-66465</f>
        <v>285855</v>
      </c>
      <c r="M23" s="119"/>
      <c r="N23" s="119"/>
      <c r="O23" s="113"/>
      <c r="P23" s="119"/>
      <c r="Q23" s="119"/>
      <c r="R23" s="113">
        <f>SUM(C23:P23)</f>
        <v>1961656</v>
      </c>
    </row>
    <row r="24" spans="1:18" ht="14.25">
      <c r="A24" s="133" t="s">
        <v>311</v>
      </c>
      <c r="B24" s="119"/>
      <c r="C24" s="119">
        <f>205000-10170-1690-11860-11860-11860</f>
        <v>157560</v>
      </c>
      <c r="D24" s="119"/>
      <c r="E24" s="119">
        <f>140000-7660-1270-8930-8930-8930</f>
        <v>104280</v>
      </c>
      <c r="F24" s="119"/>
      <c r="G24" s="119">
        <f>163000-700-700-30000-3010-1470</f>
        <v>127120</v>
      </c>
      <c r="H24" s="119"/>
      <c r="I24" s="119"/>
      <c r="J24" s="119"/>
      <c r="K24" s="119"/>
      <c r="L24" s="119">
        <f>4500-45-45-45-45</f>
        <v>4320</v>
      </c>
      <c r="M24" s="119"/>
      <c r="N24" s="119"/>
      <c r="O24" s="113"/>
      <c r="P24" s="119"/>
      <c r="Q24" s="119"/>
      <c r="R24" s="113">
        <f>SUM(C24:P24)</f>
        <v>393280</v>
      </c>
    </row>
    <row r="25" spans="1:18" ht="14.25">
      <c r="A25" s="132" t="s">
        <v>312</v>
      </c>
      <c r="B25" s="120"/>
      <c r="C25" s="120">
        <f>180000-14700-14700-14700-14700</f>
        <v>121200</v>
      </c>
      <c r="D25" s="120"/>
      <c r="E25" s="120">
        <f>42000-3500-3500-3500-3500</f>
        <v>28000</v>
      </c>
      <c r="F25" s="120"/>
      <c r="G25" s="120"/>
      <c r="H25" s="120"/>
      <c r="I25" s="120"/>
      <c r="J25" s="120"/>
      <c r="K25" s="120"/>
      <c r="L25" s="120">
        <f>42000-3500-3500-3500-3500</f>
        <v>28000</v>
      </c>
      <c r="M25" s="120"/>
      <c r="N25" s="120"/>
      <c r="O25" s="110"/>
      <c r="P25" s="120"/>
      <c r="Q25" s="120"/>
      <c r="R25" s="110">
        <f>SUM(C25:P25)</f>
        <v>177200</v>
      </c>
    </row>
    <row r="26" spans="1:18" ht="15" thickBot="1">
      <c r="A26" s="133" t="s">
        <v>38</v>
      </c>
      <c r="B26" s="136"/>
      <c r="C26" s="123">
        <f>SUM(C23:C25)</f>
        <v>1145811</v>
      </c>
      <c r="D26" s="136">
        <v>0</v>
      </c>
      <c r="E26" s="136">
        <f>SUM(E23:E25)</f>
        <v>828393</v>
      </c>
      <c r="F26" s="136">
        <v>0</v>
      </c>
      <c r="G26" s="136">
        <f>SUM(G23:G25)</f>
        <v>239757</v>
      </c>
      <c r="H26" s="136">
        <v>0</v>
      </c>
      <c r="I26" s="136">
        <v>0</v>
      </c>
      <c r="J26" s="136">
        <v>0</v>
      </c>
      <c r="K26" s="136">
        <v>0</v>
      </c>
      <c r="L26" s="136">
        <f>SUM(L23:L25)</f>
        <v>318175</v>
      </c>
      <c r="M26" s="136">
        <v>0</v>
      </c>
      <c r="N26" s="136">
        <v>0</v>
      </c>
      <c r="O26" s="136">
        <v>0</v>
      </c>
      <c r="P26" s="136">
        <v>0</v>
      </c>
      <c r="Q26" s="136"/>
      <c r="R26" s="103">
        <f>SUM(C26:P26)</f>
        <v>2532136</v>
      </c>
    </row>
    <row r="27" spans="1:18" ht="15" thickTop="1">
      <c r="A27" s="132" t="s">
        <v>309</v>
      </c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10"/>
      <c r="P27" s="120"/>
      <c r="Q27" s="120"/>
      <c r="R27" s="127"/>
    </row>
    <row r="28" spans="1:18" ht="14.25">
      <c r="A28" s="133" t="s">
        <v>313</v>
      </c>
      <c r="B28" s="119"/>
      <c r="C28" s="119">
        <f>130000-10280-10280-10280-10280</f>
        <v>88880</v>
      </c>
      <c r="D28" s="119"/>
      <c r="E28" s="119">
        <v>0</v>
      </c>
      <c r="F28" s="119"/>
      <c r="G28" s="119">
        <v>0</v>
      </c>
      <c r="H28" s="119"/>
      <c r="I28" s="119">
        <v>0</v>
      </c>
      <c r="J28" s="119"/>
      <c r="K28" s="119"/>
      <c r="L28" s="119">
        <v>0</v>
      </c>
      <c r="M28" s="119"/>
      <c r="N28" s="119"/>
      <c r="O28" s="113"/>
      <c r="P28" s="119"/>
      <c r="Q28" s="119"/>
      <c r="R28" s="113">
        <f>SUM(C28:P28)</f>
        <v>88880</v>
      </c>
    </row>
    <row r="29" spans="1:18" ht="14.25">
      <c r="A29" s="132" t="s">
        <v>314</v>
      </c>
      <c r="B29" s="121"/>
      <c r="C29" s="120">
        <f>20000-1500-1500-1500-1500</f>
        <v>14000</v>
      </c>
      <c r="D29" s="120"/>
      <c r="E29" s="120">
        <v>0</v>
      </c>
      <c r="F29" s="120"/>
      <c r="G29" s="120">
        <v>0</v>
      </c>
      <c r="H29" s="120"/>
      <c r="I29" s="120">
        <v>0</v>
      </c>
      <c r="J29" s="120"/>
      <c r="K29" s="120"/>
      <c r="L29" s="120">
        <v>0</v>
      </c>
      <c r="M29" s="120"/>
      <c r="N29" s="120"/>
      <c r="O29" s="110"/>
      <c r="P29" s="120"/>
      <c r="Q29" s="120"/>
      <c r="R29" s="110">
        <f>SUM(C29:P29)</f>
        <v>14000</v>
      </c>
    </row>
    <row r="30" spans="1:18" ht="15" thickBot="1">
      <c r="A30" s="133" t="s">
        <v>38</v>
      </c>
      <c r="B30" s="136"/>
      <c r="C30" s="123">
        <f>SUM(C28:C29)</f>
        <v>102880</v>
      </c>
      <c r="D30" s="136">
        <v>0</v>
      </c>
      <c r="E30" s="136">
        <v>0</v>
      </c>
      <c r="F30" s="136">
        <v>0</v>
      </c>
      <c r="G30" s="136">
        <v>0</v>
      </c>
      <c r="H30" s="136">
        <v>0</v>
      </c>
      <c r="I30" s="136">
        <v>0</v>
      </c>
      <c r="J30" s="136">
        <v>0</v>
      </c>
      <c r="K30" s="136">
        <v>0</v>
      </c>
      <c r="L30" s="136">
        <v>0</v>
      </c>
      <c r="M30" s="136">
        <v>0</v>
      </c>
      <c r="N30" s="136">
        <v>0</v>
      </c>
      <c r="O30" s="136">
        <v>0</v>
      </c>
      <c r="P30" s="136">
        <v>0</v>
      </c>
      <c r="Q30" s="136"/>
      <c r="R30" s="116">
        <f>SUM(C30:P30)</f>
        <v>102880</v>
      </c>
    </row>
    <row r="31" ht="15" thickTop="1">
      <c r="C31" s="254"/>
    </row>
    <row r="42" spans="1:18" s="107" customFormat="1" ht="14.25">
      <c r="A42" s="108" t="s">
        <v>125</v>
      </c>
      <c r="B42" s="323" t="s">
        <v>101</v>
      </c>
      <c r="C42" s="324" t="s">
        <v>102</v>
      </c>
      <c r="D42" s="324"/>
      <c r="E42" s="324"/>
      <c r="F42" s="130" t="s">
        <v>103</v>
      </c>
      <c r="G42" s="324" t="s">
        <v>104</v>
      </c>
      <c r="H42" s="324"/>
      <c r="I42" s="324" t="s">
        <v>105</v>
      </c>
      <c r="J42" s="324"/>
      <c r="K42" s="130" t="s">
        <v>106</v>
      </c>
      <c r="L42" s="324" t="s">
        <v>107</v>
      </c>
      <c r="M42" s="324"/>
      <c r="N42" s="324" t="s">
        <v>108</v>
      </c>
      <c r="O42" s="324"/>
      <c r="P42" s="327" t="s">
        <v>123</v>
      </c>
      <c r="Q42" s="328"/>
      <c r="R42" s="329" t="s">
        <v>20</v>
      </c>
    </row>
    <row r="43" spans="1:18" s="107" customFormat="1" ht="14.25">
      <c r="A43" s="109" t="s">
        <v>126</v>
      </c>
      <c r="B43" s="323"/>
      <c r="C43" s="130" t="s">
        <v>109</v>
      </c>
      <c r="D43" s="130" t="s">
        <v>121</v>
      </c>
      <c r="E43" s="130" t="s">
        <v>110</v>
      </c>
      <c r="F43" s="130" t="s">
        <v>111</v>
      </c>
      <c r="G43" s="130" t="s">
        <v>112</v>
      </c>
      <c r="H43" s="130" t="s">
        <v>113</v>
      </c>
      <c r="I43" s="130" t="s">
        <v>114</v>
      </c>
      <c r="J43" s="130" t="s">
        <v>115</v>
      </c>
      <c r="K43" s="130" t="s">
        <v>122</v>
      </c>
      <c r="L43" s="130" t="s">
        <v>116</v>
      </c>
      <c r="M43" s="130" t="s">
        <v>117</v>
      </c>
      <c r="N43" s="130" t="s">
        <v>118</v>
      </c>
      <c r="O43" s="130" t="s">
        <v>119</v>
      </c>
      <c r="P43" s="130" t="s">
        <v>367</v>
      </c>
      <c r="Q43" s="250" t="s">
        <v>124</v>
      </c>
      <c r="R43" s="330"/>
    </row>
    <row r="44" spans="1:18" ht="14.25">
      <c r="A44" s="135" t="s">
        <v>309</v>
      </c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</row>
    <row r="45" spans="1:18" ht="14.25">
      <c r="A45" s="242" t="s">
        <v>316</v>
      </c>
      <c r="B45" s="113"/>
      <c r="C45" s="113">
        <f>150000-12130-12130-12130-12130</f>
        <v>101480</v>
      </c>
      <c r="D45" s="113"/>
      <c r="E45" s="113">
        <f>170000-13600-13600-13600-13600</f>
        <v>115600</v>
      </c>
      <c r="F45" s="113"/>
      <c r="G45" s="113">
        <f>250000-20220-20220-20220-20220</f>
        <v>169120</v>
      </c>
      <c r="H45" s="113"/>
      <c r="I45" s="113">
        <f>70000-5340-5340-5340-5340</f>
        <v>48640</v>
      </c>
      <c r="J45" s="113"/>
      <c r="K45" s="113"/>
      <c r="L45" s="113">
        <f>160000-12670-12670-5340-5340</f>
        <v>123980</v>
      </c>
      <c r="M45" s="113"/>
      <c r="N45" s="113"/>
      <c r="O45" s="113"/>
      <c r="P45" s="113"/>
      <c r="Q45" s="113"/>
      <c r="R45" s="113">
        <f>SUM(C45:P45)</f>
        <v>558820</v>
      </c>
    </row>
    <row r="46" spans="1:18" ht="14.25">
      <c r="A46" s="132" t="s">
        <v>317</v>
      </c>
      <c r="B46" s="110"/>
      <c r="C46" s="110">
        <f>71000-5870-5870-5870-5870</f>
        <v>47520</v>
      </c>
      <c r="D46" s="110"/>
      <c r="E46" s="110">
        <f>63000-5160-5160-5160-5160</f>
        <v>42360</v>
      </c>
      <c r="F46" s="110"/>
      <c r="G46" s="110">
        <f>160000-12780-12780-12780-12780</f>
        <v>108880</v>
      </c>
      <c r="H46" s="110"/>
      <c r="I46" s="110">
        <f>45000-3660-3660-3660-3660</f>
        <v>30360</v>
      </c>
      <c r="J46" s="110"/>
      <c r="K46" s="110"/>
      <c r="L46" s="110">
        <f>65000-5330-5330-3660-3660</f>
        <v>47020</v>
      </c>
      <c r="M46" s="110"/>
      <c r="N46" s="110"/>
      <c r="O46" s="110"/>
      <c r="P46" s="110"/>
      <c r="Q46" s="110"/>
      <c r="R46" s="110">
        <f>SUM(C46:P46)</f>
        <v>276140</v>
      </c>
    </row>
    <row r="47" spans="1:18" ht="15" thickBot="1">
      <c r="A47" s="133" t="s">
        <v>38</v>
      </c>
      <c r="B47" s="103"/>
      <c r="C47" s="115">
        <f>SUM(C45:C46)</f>
        <v>149000</v>
      </c>
      <c r="D47" s="103">
        <v>0</v>
      </c>
      <c r="E47" s="103">
        <f>SUM(E44:E46)</f>
        <v>157960</v>
      </c>
      <c r="F47" s="103">
        <v>0</v>
      </c>
      <c r="G47" s="103">
        <f>SUM(G45:G46)</f>
        <v>278000</v>
      </c>
      <c r="H47" s="103">
        <v>0</v>
      </c>
      <c r="I47" s="103">
        <f>SUM(I45:I46)</f>
        <v>79000</v>
      </c>
      <c r="J47" s="103">
        <v>0</v>
      </c>
      <c r="K47" s="103">
        <v>0</v>
      </c>
      <c r="L47" s="103">
        <f>SUM(L45:L46)</f>
        <v>171000</v>
      </c>
      <c r="M47" s="103">
        <v>0</v>
      </c>
      <c r="N47" s="103">
        <v>0</v>
      </c>
      <c r="O47" s="103">
        <v>0</v>
      </c>
      <c r="P47" s="103">
        <v>0</v>
      </c>
      <c r="Q47" s="103"/>
      <c r="R47" s="259">
        <f>SUM(C47:P47)</f>
        <v>834960</v>
      </c>
    </row>
    <row r="48" spans="1:18" ht="15" thickTop="1">
      <c r="A48" s="135" t="s">
        <v>318</v>
      </c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8"/>
      <c r="P48" s="117"/>
      <c r="Q48" s="117"/>
      <c r="R48" s="118"/>
    </row>
    <row r="49" spans="1:18" ht="14.25">
      <c r="A49" s="133" t="s">
        <v>319</v>
      </c>
      <c r="B49" s="119"/>
      <c r="C49" s="119">
        <f>435000</f>
        <v>435000</v>
      </c>
      <c r="D49" s="119"/>
      <c r="E49" s="119">
        <v>280000</v>
      </c>
      <c r="F49" s="119"/>
      <c r="G49" s="119">
        <v>130000</v>
      </c>
      <c r="H49" s="119"/>
      <c r="I49" s="119">
        <v>20000</v>
      </c>
      <c r="J49" s="119"/>
      <c r="K49" s="119"/>
      <c r="L49" s="119">
        <f>220000-15400</f>
        <v>204600</v>
      </c>
      <c r="M49" s="119">
        <v>0</v>
      </c>
      <c r="N49" s="119"/>
      <c r="O49" s="113"/>
      <c r="P49" s="119"/>
      <c r="Q49" s="119"/>
      <c r="R49" s="113">
        <f aca="true" t="shared" si="1" ref="R49:R54">SUM(C49:P49)</f>
        <v>1069600</v>
      </c>
    </row>
    <row r="50" spans="1:18" ht="14.25">
      <c r="A50" s="132" t="s">
        <v>320</v>
      </c>
      <c r="B50" s="120"/>
      <c r="C50" s="120">
        <f>30000</f>
        <v>30000</v>
      </c>
      <c r="D50" s="120"/>
      <c r="E50" s="120">
        <f>30000-2940</f>
        <v>27060</v>
      </c>
      <c r="F50" s="120"/>
      <c r="G50" s="120">
        <v>10000</v>
      </c>
      <c r="H50" s="120"/>
      <c r="I50" s="120">
        <v>3000</v>
      </c>
      <c r="J50" s="120"/>
      <c r="K50" s="120"/>
      <c r="L50" s="120">
        <v>10000</v>
      </c>
      <c r="M50" s="120"/>
      <c r="N50" s="120"/>
      <c r="O50" s="110"/>
      <c r="P50" s="120"/>
      <c r="Q50" s="120"/>
      <c r="R50" s="110">
        <f t="shared" si="1"/>
        <v>80060</v>
      </c>
    </row>
    <row r="51" spans="1:18" ht="14.25">
      <c r="A51" s="133" t="s">
        <v>321</v>
      </c>
      <c r="B51" s="119"/>
      <c r="C51" s="119">
        <f>90000-2400-6400-6400-6400</f>
        <v>68400</v>
      </c>
      <c r="D51" s="119"/>
      <c r="E51" s="119">
        <f>50000-1950-1950-1950-1950</f>
        <v>42200</v>
      </c>
      <c r="F51" s="119"/>
      <c r="G51" s="119">
        <f>30000-2400-2400-2400-2400</f>
        <v>20400</v>
      </c>
      <c r="H51" s="119"/>
      <c r="I51" s="119"/>
      <c r="J51" s="119"/>
      <c r="K51" s="119"/>
      <c r="L51" s="119">
        <f>65000-3000-1950-3000-1950-4950-4950</f>
        <v>45200</v>
      </c>
      <c r="M51" s="119"/>
      <c r="N51" s="119"/>
      <c r="O51" s="113"/>
      <c r="P51" s="119"/>
      <c r="Q51" s="119"/>
      <c r="R51" s="113">
        <f t="shared" si="1"/>
        <v>176200</v>
      </c>
    </row>
    <row r="52" spans="1:18" ht="14.25">
      <c r="A52" s="133" t="s">
        <v>322</v>
      </c>
      <c r="B52" s="119"/>
      <c r="C52" s="119">
        <f>50000-12854</f>
        <v>37146</v>
      </c>
      <c r="D52" s="119"/>
      <c r="E52" s="119">
        <v>5000</v>
      </c>
      <c r="F52" s="119">
        <v>0</v>
      </c>
      <c r="G52" s="119">
        <v>0</v>
      </c>
      <c r="H52" s="119"/>
      <c r="I52" s="119"/>
      <c r="J52" s="119"/>
      <c r="K52" s="119"/>
      <c r="L52" s="119">
        <v>5000</v>
      </c>
      <c r="M52" s="119"/>
      <c r="N52" s="243"/>
      <c r="O52" s="113"/>
      <c r="P52" s="119"/>
      <c r="Q52" s="119"/>
      <c r="R52" s="113">
        <f t="shared" si="1"/>
        <v>47146</v>
      </c>
    </row>
    <row r="53" spans="1:18" ht="14.25">
      <c r="A53" s="169" t="s">
        <v>323</v>
      </c>
      <c r="B53" s="121"/>
      <c r="C53" s="121">
        <f>30000-29995</f>
        <v>5</v>
      </c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244"/>
      <c r="O53" s="114"/>
      <c r="P53" s="121"/>
      <c r="Q53" s="121"/>
      <c r="R53" s="245"/>
    </row>
    <row r="54" spans="1:18" ht="15" thickBot="1">
      <c r="A54" s="133" t="s">
        <v>38</v>
      </c>
      <c r="B54" s="136"/>
      <c r="C54" s="123">
        <f>SUM(C49:C53)</f>
        <v>570551</v>
      </c>
      <c r="D54" s="136">
        <v>0</v>
      </c>
      <c r="E54" s="136">
        <f>SUM(E49:E53)</f>
        <v>354260</v>
      </c>
      <c r="F54" s="136">
        <v>0</v>
      </c>
      <c r="G54" s="136">
        <f>SUM(G49:G53)</f>
        <v>160400</v>
      </c>
      <c r="H54" s="136">
        <v>0</v>
      </c>
      <c r="I54" s="136">
        <f>SUM(I49:I53)</f>
        <v>23000</v>
      </c>
      <c r="J54" s="136">
        <v>0</v>
      </c>
      <c r="K54" s="136">
        <v>0</v>
      </c>
      <c r="L54" s="136">
        <f>SUM(L49:L53)</f>
        <v>264800</v>
      </c>
      <c r="M54" s="136">
        <f>SUM(M49:M52)</f>
        <v>0</v>
      </c>
      <c r="N54" s="253">
        <v>0</v>
      </c>
      <c r="O54" s="136">
        <v>0</v>
      </c>
      <c r="P54" s="136">
        <v>0</v>
      </c>
      <c r="Q54" s="136"/>
      <c r="R54" s="115">
        <f t="shared" si="1"/>
        <v>1373011</v>
      </c>
    </row>
    <row r="55" spans="1:18" ht="15" thickTop="1">
      <c r="A55" s="137" t="s">
        <v>324</v>
      </c>
      <c r="B55" s="125"/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6"/>
      <c r="O55" s="126"/>
      <c r="P55" s="126"/>
      <c r="Q55" s="126"/>
      <c r="R55" s="127"/>
    </row>
    <row r="56" spans="1:18" ht="14.25">
      <c r="A56" s="137" t="s">
        <v>325</v>
      </c>
      <c r="B56" s="125"/>
      <c r="C56" s="125">
        <f>500000-12750-22484-148468</f>
        <v>316298</v>
      </c>
      <c r="D56" s="125"/>
      <c r="E56" s="125">
        <f>100000-2400</f>
        <v>97600</v>
      </c>
      <c r="F56" s="125"/>
      <c r="G56" s="125">
        <f>80000-14500</f>
        <v>65500</v>
      </c>
      <c r="H56" s="125"/>
      <c r="I56" s="125">
        <v>15000</v>
      </c>
      <c r="J56" s="125"/>
      <c r="K56" s="125" t="s">
        <v>291</v>
      </c>
      <c r="L56" s="125">
        <f>90000-3300</f>
        <v>86700</v>
      </c>
      <c r="M56" s="125">
        <v>150000</v>
      </c>
      <c r="N56" s="125"/>
      <c r="O56" s="126"/>
      <c r="P56" s="125"/>
      <c r="Q56" s="125"/>
      <c r="R56" s="126">
        <f>SUM(C56:P56)</f>
        <v>731098</v>
      </c>
    </row>
    <row r="57" spans="1:18" ht="14.25">
      <c r="A57" s="133" t="s">
        <v>326</v>
      </c>
      <c r="B57" s="119"/>
      <c r="C57" s="119">
        <v>20000</v>
      </c>
      <c r="D57" s="119"/>
      <c r="E57" s="119"/>
      <c r="F57" s="119"/>
      <c r="G57" s="119">
        <v>10000</v>
      </c>
      <c r="H57" s="119"/>
      <c r="I57" s="119"/>
      <c r="J57" s="119"/>
      <c r="K57" s="119"/>
      <c r="L57" s="119"/>
      <c r="M57" s="119"/>
      <c r="N57" s="119"/>
      <c r="O57" s="113"/>
      <c r="P57" s="119"/>
      <c r="Q57" s="119"/>
      <c r="R57" s="113">
        <f>SUM(C57:Q57)</f>
        <v>30000</v>
      </c>
    </row>
    <row r="58" spans="1:18" ht="14.25">
      <c r="A58" s="137" t="s">
        <v>327</v>
      </c>
      <c r="B58" s="119"/>
      <c r="C58" s="119">
        <f>615000-800-24417.75-149650+70000</f>
        <v>510132.25</v>
      </c>
      <c r="D58" s="119">
        <v>30000</v>
      </c>
      <c r="E58" s="119">
        <v>50000</v>
      </c>
      <c r="F58" s="119">
        <f>240000-5300-12000</f>
        <v>222700</v>
      </c>
      <c r="G58" s="119">
        <f>20000-6720</f>
        <v>13280</v>
      </c>
      <c r="H58" s="119">
        <f>85000-20390</f>
        <v>64610</v>
      </c>
      <c r="I58" s="119">
        <v>5000</v>
      </c>
      <c r="J58" s="119">
        <f>170000-132250</f>
        <v>37750</v>
      </c>
      <c r="K58" s="119">
        <v>90000</v>
      </c>
      <c r="L58" s="119"/>
      <c r="M58" s="119"/>
      <c r="N58" s="119">
        <v>100000</v>
      </c>
      <c r="O58" s="113">
        <f>150000-9600-1000-84955</f>
        <v>54445</v>
      </c>
      <c r="P58" s="119">
        <v>30000</v>
      </c>
      <c r="Q58" s="119"/>
      <c r="R58" s="113">
        <f>SUM(C58:P58)</f>
        <v>1207917.25</v>
      </c>
    </row>
    <row r="59" spans="1:18" ht="14.25">
      <c r="A59" s="137" t="s">
        <v>328</v>
      </c>
      <c r="B59" s="119"/>
      <c r="C59" s="119">
        <f>20000-2170-3645.49-1150</f>
        <v>13034.51</v>
      </c>
      <c r="D59" s="119"/>
      <c r="E59" s="119">
        <f>20000-3150-300</f>
        <v>16550</v>
      </c>
      <c r="F59" s="119"/>
      <c r="G59" s="119">
        <f>15000-1750</f>
        <v>13250</v>
      </c>
      <c r="H59" s="119"/>
      <c r="I59" s="119">
        <v>10000</v>
      </c>
      <c r="J59" s="119"/>
      <c r="K59" s="119"/>
      <c r="L59" s="119">
        <v>15000</v>
      </c>
      <c r="M59" s="119"/>
      <c r="N59" s="119"/>
      <c r="O59" s="113"/>
      <c r="P59" s="119"/>
      <c r="Q59" s="119"/>
      <c r="R59" s="113">
        <f>SUM(C59:Q59)</f>
        <v>67834.51000000001</v>
      </c>
    </row>
    <row r="60" spans="1:18" ht="15" thickBot="1">
      <c r="A60" s="133" t="s">
        <v>38</v>
      </c>
      <c r="B60" s="136"/>
      <c r="C60" s="123">
        <f>SUM(C56:C59)</f>
        <v>859464.76</v>
      </c>
      <c r="D60" s="136">
        <f>SUM(D58:D59)</f>
        <v>30000</v>
      </c>
      <c r="E60" s="136">
        <f>SUM(E56:E59)</f>
        <v>164150</v>
      </c>
      <c r="F60" s="136">
        <f>SUM(F58)</f>
        <v>222700</v>
      </c>
      <c r="G60" s="136">
        <f>SUM(G56:G59)</f>
        <v>102030</v>
      </c>
      <c r="H60" s="136">
        <f>SUM(H56:H59)</f>
        <v>64610</v>
      </c>
      <c r="I60" s="136">
        <f>SUM(I56:I59)</f>
        <v>30000</v>
      </c>
      <c r="J60" s="136">
        <f>SUM(J58)</f>
        <v>37750</v>
      </c>
      <c r="K60" s="136">
        <f>SUM(K56:K59)</f>
        <v>90000</v>
      </c>
      <c r="L60" s="136">
        <f>SUM(L56:L59)</f>
        <v>101700</v>
      </c>
      <c r="M60" s="136">
        <f>SUM(M56:M59)</f>
        <v>150000</v>
      </c>
      <c r="N60" s="136">
        <f>SUM(N58)</f>
        <v>100000</v>
      </c>
      <c r="O60" s="136">
        <f>SUM(O56:O59)</f>
        <v>54445</v>
      </c>
      <c r="P60" s="136">
        <f>SUM(P56:P59)</f>
        <v>30000</v>
      </c>
      <c r="Q60" s="136"/>
      <c r="R60" s="116">
        <f>SUM(C60:P60)</f>
        <v>2036849.76</v>
      </c>
    </row>
    <row r="61" spans="1:18" ht="15" thickTop="1">
      <c r="A61" s="137" t="s">
        <v>329</v>
      </c>
      <c r="B61" s="125"/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6"/>
      <c r="O61" s="126"/>
      <c r="P61" s="126"/>
      <c r="Q61" s="126"/>
      <c r="R61" s="126"/>
    </row>
    <row r="62" spans="1:18" ht="14.25">
      <c r="A62" s="137" t="s">
        <v>330</v>
      </c>
      <c r="B62" s="125"/>
      <c r="C62" s="125"/>
      <c r="D62" s="125"/>
      <c r="E62" s="125">
        <f>100000-31303-6612</f>
        <v>62085</v>
      </c>
      <c r="F62" s="125"/>
      <c r="G62" s="125">
        <f>20000-6890</f>
        <v>13110</v>
      </c>
      <c r="H62" s="125"/>
      <c r="I62" s="125"/>
      <c r="J62" s="125"/>
      <c r="K62" s="125"/>
      <c r="L62" s="125"/>
      <c r="M62" s="125"/>
      <c r="N62" s="125"/>
      <c r="O62" s="126"/>
      <c r="P62" s="125"/>
      <c r="Q62" s="125"/>
      <c r="R62" s="126">
        <f>SUM(C62:P62)</f>
        <v>75195</v>
      </c>
    </row>
    <row r="63" spans="1:18" ht="14.25">
      <c r="A63" s="133" t="s">
        <v>331</v>
      </c>
      <c r="B63" s="119"/>
      <c r="C63" s="119"/>
      <c r="D63" s="119"/>
      <c r="E63" s="119"/>
      <c r="F63" s="119"/>
      <c r="G63" s="119"/>
      <c r="H63" s="119"/>
      <c r="I63" s="119"/>
      <c r="J63" s="119"/>
      <c r="K63" s="119"/>
      <c r="L63" s="119">
        <v>35000</v>
      </c>
      <c r="M63" s="119"/>
      <c r="N63" s="119"/>
      <c r="O63" s="113"/>
      <c r="P63" s="119"/>
      <c r="Q63" s="119"/>
      <c r="R63" s="113">
        <f>SUM(C63:Q63)</f>
        <v>35000</v>
      </c>
    </row>
    <row r="64" spans="1:18" ht="14.25">
      <c r="A64" s="137" t="s">
        <v>332</v>
      </c>
      <c r="B64" s="119"/>
      <c r="C64" s="119"/>
      <c r="D64" s="119"/>
      <c r="E64" s="119">
        <f>30000-220-320-100</f>
        <v>29360</v>
      </c>
      <c r="F64" s="119"/>
      <c r="G64" s="119">
        <v>20000</v>
      </c>
      <c r="H64" s="119">
        <v>0</v>
      </c>
      <c r="I64" s="119"/>
      <c r="J64" s="119"/>
      <c r="K64" s="119"/>
      <c r="L64" s="119"/>
      <c r="M64" s="119"/>
      <c r="N64" s="119"/>
      <c r="O64" s="113"/>
      <c r="P64" s="119"/>
      <c r="Q64" s="119"/>
      <c r="R64" s="113">
        <f>SUM(C64:P64)</f>
        <v>49360</v>
      </c>
    </row>
    <row r="65" spans="1:18" ht="14.25">
      <c r="A65" s="137" t="s">
        <v>333</v>
      </c>
      <c r="B65" s="119"/>
      <c r="C65" s="119"/>
      <c r="D65" s="119"/>
      <c r="E65" s="119"/>
      <c r="F65" s="119"/>
      <c r="G65" s="119"/>
      <c r="H65" s="119">
        <f>1022870-67878.72-67764.06</f>
        <v>887227.22</v>
      </c>
      <c r="I65" s="119"/>
      <c r="J65" s="119"/>
      <c r="K65" s="119"/>
      <c r="L65" s="119"/>
      <c r="M65" s="119"/>
      <c r="N65" s="119"/>
      <c r="O65" s="113"/>
      <c r="P65" s="119"/>
      <c r="Q65" s="119"/>
      <c r="R65" s="113">
        <f aca="true" t="shared" si="2" ref="R65:R75">SUM(B65:Q65)</f>
        <v>887227.22</v>
      </c>
    </row>
    <row r="66" spans="1:18" ht="14.25">
      <c r="A66" s="137" t="s">
        <v>334</v>
      </c>
      <c r="B66" s="119"/>
      <c r="C66" s="119"/>
      <c r="D66" s="119"/>
      <c r="E66" s="119"/>
      <c r="F66" s="119"/>
      <c r="G66" s="119"/>
      <c r="H66" s="119">
        <f>262400-20832-17856</f>
        <v>223712</v>
      </c>
      <c r="I66" s="119"/>
      <c r="J66" s="119"/>
      <c r="K66" s="119"/>
      <c r="L66" s="119"/>
      <c r="M66" s="119"/>
      <c r="N66" s="119"/>
      <c r="O66" s="113"/>
      <c r="P66" s="119"/>
      <c r="Q66" s="119"/>
      <c r="R66" s="113">
        <f t="shared" si="2"/>
        <v>223712</v>
      </c>
    </row>
    <row r="67" spans="1:18" ht="14.25">
      <c r="A67" s="137" t="s">
        <v>335</v>
      </c>
      <c r="B67" s="119"/>
      <c r="C67" s="119"/>
      <c r="D67" s="119"/>
      <c r="E67" s="119"/>
      <c r="F67" s="119"/>
      <c r="G67" s="119"/>
      <c r="H67" s="119"/>
      <c r="I67" s="119"/>
      <c r="J67" s="119"/>
      <c r="K67" s="119"/>
      <c r="L67" s="119">
        <v>20000</v>
      </c>
      <c r="M67" s="119"/>
      <c r="N67" s="119"/>
      <c r="O67" s="113"/>
      <c r="P67" s="119"/>
      <c r="Q67" s="119"/>
      <c r="R67" s="113">
        <f t="shared" si="2"/>
        <v>20000</v>
      </c>
    </row>
    <row r="68" spans="1:18" ht="14.25">
      <c r="A68" s="137" t="s">
        <v>336</v>
      </c>
      <c r="B68" s="119"/>
      <c r="C68" s="119">
        <v>60000</v>
      </c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3"/>
      <c r="P68" s="119"/>
      <c r="Q68" s="119"/>
      <c r="R68" s="113">
        <f t="shared" si="2"/>
        <v>60000</v>
      </c>
    </row>
    <row r="69" spans="1:18" ht="14.25">
      <c r="A69" s="137" t="s">
        <v>337</v>
      </c>
      <c r="B69" s="119"/>
      <c r="C69" s="119">
        <f>150000-19760-7950-8860</f>
        <v>113430</v>
      </c>
      <c r="D69" s="119"/>
      <c r="E69" s="119"/>
      <c r="F69" s="119"/>
      <c r="G69" s="119"/>
      <c r="H69" s="119"/>
      <c r="I69" s="119"/>
      <c r="J69" s="119"/>
      <c r="K69" s="119"/>
      <c r="L69" s="119"/>
      <c r="M69" s="119"/>
      <c r="N69" s="119"/>
      <c r="O69" s="113"/>
      <c r="P69" s="119"/>
      <c r="Q69" s="119"/>
      <c r="R69" s="113">
        <f t="shared" si="2"/>
        <v>113430</v>
      </c>
    </row>
    <row r="70" spans="1:18" ht="14.25">
      <c r="A70" s="137" t="s">
        <v>368</v>
      </c>
      <c r="B70" s="119"/>
      <c r="C70" s="119"/>
      <c r="D70" s="119"/>
      <c r="E70" s="119"/>
      <c r="F70" s="119"/>
      <c r="G70" s="119"/>
      <c r="H70" s="119">
        <v>0</v>
      </c>
      <c r="I70" s="119">
        <v>40000</v>
      </c>
      <c r="J70" s="119"/>
      <c r="K70" s="119"/>
      <c r="L70" s="119"/>
      <c r="M70" s="119"/>
      <c r="N70" s="119"/>
      <c r="O70" s="113"/>
      <c r="P70" s="119"/>
      <c r="Q70" s="119"/>
      <c r="R70" s="113">
        <f t="shared" si="2"/>
        <v>40000</v>
      </c>
    </row>
    <row r="71" spans="1:18" ht="14.25">
      <c r="A71" s="137" t="s">
        <v>338</v>
      </c>
      <c r="B71" s="119"/>
      <c r="C71" s="119">
        <v>20000</v>
      </c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3"/>
      <c r="P71" s="119"/>
      <c r="Q71" s="119"/>
      <c r="R71" s="113">
        <f t="shared" si="2"/>
        <v>20000</v>
      </c>
    </row>
    <row r="72" spans="1:18" ht="14.25">
      <c r="A72" s="137" t="s">
        <v>369</v>
      </c>
      <c r="B72" s="119"/>
      <c r="C72" s="119"/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>
        <v>60000</v>
      </c>
      <c r="O72" s="113"/>
      <c r="P72" s="119"/>
      <c r="Q72" s="119"/>
      <c r="R72" s="113">
        <f t="shared" si="2"/>
        <v>60000</v>
      </c>
    </row>
    <row r="73" spans="1:18" ht="14.25">
      <c r="A73" s="137" t="s">
        <v>339</v>
      </c>
      <c r="B73" s="119"/>
      <c r="C73" s="119">
        <f>40000-21200-4000-8600</f>
        <v>6200</v>
      </c>
      <c r="D73" s="119"/>
      <c r="E73" s="119">
        <f>60000-19500-5600</f>
        <v>34900</v>
      </c>
      <c r="F73" s="119"/>
      <c r="G73" s="119">
        <f>20000-1800</f>
        <v>18200</v>
      </c>
      <c r="H73" s="119"/>
      <c r="I73" s="119"/>
      <c r="J73" s="119"/>
      <c r="K73" s="119"/>
      <c r="L73" s="119">
        <v>25000</v>
      </c>
      <c r="M73" s="119"/>
      <c r="N73" s="119"/>
      <c r="O73" s="113"/>
      <c r="P73" s="119"/>
      <c r="Q73" s="119"/>
      <c r="R73" s="113">
        <f t="shared" si="2"/>
        <v>84300</v>
      </c>
    </row>
    <row r="74" spans="1:18" ht="14.25">
      <c r="A74" s="137" t="s">
        <v>340</v>
      </c>
      <c r="B74" s="119"/>
      <c r="C74" s="119"/>
      <c r="D74" s="119"/>
      <c r="E74" s="119"/>
      <c r="F74" s="119"/>
      <c r="G74" s="119"/>
      <c r="H74" s="119">
        <v>20000</v>
      </c>
      <c r="I74" s="119"/>
      <c r="J74" s="119"/>
      <c r="K74" s="119"/>
      <c r="L74" s="119"/>
      <c r="M74" s="119"/>
      <c r="N74" s="119"/>
      <c r="O74" s="113"/>
      <c r="P74" s="119"/>
      <c r="Q74" s="119"/>
      <c r="R74" s="113">
        <f t="shared" si="2"/>
        <v>20000</v>
      </c>
    </row>
    <row r="75" spans="1:18" ht="14.25">
      <c r="A75" s="137" t="s">
        <v>341</v>
      </c>
      <c r="B75" s="119"/>
      <c r="C75" s="119"/>
      <c r="D75" s="119"/>
      <c r="E75" s="119"/>
      <c r="F75" s="119"/>
      <c r="G75" s="119"/>
      <c r="H75" s="119">
        <v>20000</v>
      </c>
      <c r="I75" s="119"/>
      <c r="J75" s="119"/>
      <c r="K75" s="119"/>
      <c r="L75" s="119"/>
      <c r="M75" s="119"/>
      <c r="N75" s="119"/>
      <c r="O75" s="113"/>
      <c r="P75" s="119"/>
      <c r="Q75" s="119"/>
      <c r="R75" s="113">
        <f t="shared" si="2"/>
        <v>20000</v>
      </c>
    </row>
    <row r="76" spans="1:18" ht="15" thickBot="1">
      <c r="A76" s="133" t="s">
        <v>38</v>
      </c>
      <c r="B76" s="136"/>
      <c r="C76" s="123">
        <f>SUM(C62:C75)</f>
        <v>199630</v>
      </c>
      <c r="D76" s="136">
        <v>0</v>
      </c>
      <c r="E76" s="136">
        <f>SUM(E62:E75)</f>
        <v>126345</v>
      </c>
      <c r="F76" s="136">
        <v>0</v>
      </c>
      <c r="G76" s="136">
        <f>SUM(G62:G75)</f>
        <v>51310</v>
      </c>
      <c r="H76" s="136">
        <f>SUM(H62:H75)</f>
        <v>1150939.22</v>
      </c>
      <c r="I76" s="136">
        <f>SUM(I62:I75)</f>
        <v>40000</v>
      </c>
      <c r="J76" s="136">
        <v>0</v>
      </c>
      <c r="K76" s="136">
        <v>0</v>
      </c>
      <c r="L76" s="136">
        <f>SUM(L63:L75)</f>
        <v>80000</v>
      </c>
      <c r="M76" s="136">
        <v>0</v>
      </c>
      <c r="N76" s="136">
        <f>SUM(N62:N75)</f>
        <v>60000</v>
      </c>
      <c r="O76" s="136">
        <v>0</v>
      </c>
      <c r="P76" s="136">
        <v>0</v>
      </c>
      <c r="Q76" s="136"/>
      <c r="R76" s="116">
        <f>SUM(C76:P76)</f>
        <v>1708224.22</v>
      </c>
    </row>
    <row r="77" spans="1:18" ht="15" thickTop="1">
      <c r="A77" s="255"/>
      <c r="B77" s="256"/>
      <c r="C77" s="254"/>
      <c r="D77" s="256"/>
      <c r="E77" s="256"/>
      <c r="F77" s="256"/>
      <c r="G77" s="256"/>
      <c r="H77" s="256"/>
      <c r="I77" s="256"/>
      <c r="J77" s="256"/>
      <c r="K77" s="256"/>
      <c r="L77" s="256"/>
      <c r="M77" s="256"/>
      <c r="N77" s="256"/>
      <c r="O77" s="256"/>
      <c r="P77" s="256"/>
      <c r="Q77" s="256"/>
      <c r="R77" s="254"/>
    </row>
    <row r="78" spans="1:18" ht="14.25">
      <c r="A78" s="255"/>
      <c r="B78" s="256"/>
      <c r="C78" s="254"/>
      <c r="D78" s="256"/>
      <c r="E78" s="256"/>
      <c r="F78" s="256"/>
      <c r="G78" s="256"/>
      <c r="H78" s="256"/>
      <c r="I78" s="256"/>
      <c r="J78" s="256"/>
      <c r="K78" s="256"/>
      <c r="L78" s="256"/>
      <c r="M78" s="256"/>
      <c r="N78" s="256"/>
      <c r="O78" s="256"/>
      <c r="P78" s="256"/>
      <c r="Q78" s="256"/>
      <c r="R78" s="254"/>
    </row>
    <row r="79" spans="1:18" ht="14.25">
      <c r="A79" s="255"/>
      <c r="B79" s="256"/>
      <c r="C79" s="254"/>
      <c r="D79" s="256"/>
      <c r="E79" s="256"/>
      <c r="F79" s="256"/>
      <c r="G79" s="256"/>
      <c r="H79" s="256"/>
      <c r="I79" s="256"/>
      <c r="J79" s="256"/>
      <c r="K79" s="256"/>
      <c r="L79" s="256"/>
      <c r="M79" s="256"/>
      <c r="N79" s="256"/>
      <c r="O79" s="256"/>
      <c r="P79" s="256"/>
      <c r="Q79" s="256"/>
      <c r="R79" s="254"/>
    </row>
    <row r="82" spans="1:18" s="107" customFormat="1" ht="13.5" customHeight="1">
      <c r="A82" s="108" t="s">
        <v>125</v>
      </c>
      <c r="B82" s="323" t="s">
        <v>101</v>
      </c>
      <c r="C82" s="324" t="s">
        <v>102</v>
      </c>
      <c r="D82" s="324"/>
      <c r="E82" s="324"/>
      <c r="F82" s="130" t="s">
        <v>103</v>
      </c>
      <c r="G82" s="324" t="s">
        <v>104</v>
      </c>
      <c r="H82" s="324"/>
      <c r="I82" s="324" t="s">
        <v>105</v>
      </c>
      <c r="J82" s="324"/>
      <c r="K82" s="130" t="s">
        <v>106</v>
      </c>
      <c r="L82" s="324" t="s">
        <v>107</v>
      </c>
      <c r="M82" s="324"/>
      <c r="N82" s="324" t="s">
        <v>108</v>
      </c>
      <c r="O82" s="324"/>
      <c r="P82" s="327" t="s">
        <v>123</v>
      </c>
      <c r="Q82" s="328"/>
      <c r="R82" s="329" t="s">
        <v>20</v>
      </c>
    </row>
    <row r="83" spans="1:18" s="107" customFormat="1" ht="13.5" customHeight="1">
      <c r="A83" s="268" t="s">
        <v>126</v>
      </c>
      <c r="B83" s="323"/>
      <c r="C83" s="130" t="s">
        <v>109</v>
      </c>
      <c r="D83" s="130" t="s">
        <v>121</v>
      </c>
      <c r="E83" s="130" t="s">
        <v>110</v>
      </c>
      <c r="F83" s="130" t="s">
        <v>111</v>
      </c>
      <c r="G83" s="130" t="s">
        <v>112</v>
      </c>
      <c r="H83" s="130" t="s">
        <v>113</v>
      </c>
      <c r="I83" s="130" t="s">
        <v>114</v>
      </c>
      <c r="J83" s="130" t="s">
        <v>115</v>
      </c>
      <c r="K83" s="130" t="s">
        <v>122</v>
      </c>
      <c r="L83" s="130" t="s">
        <v>116</v>
      </c>
      <c r="M83" s="130" t="s">
        <v>117</v>
      </c>
      <c r="N83" s="130" t="s">
        <v>118</v>
      </c>
      <c r="O83" s="130" t="s">
        <v>119</v>
      </c>
      <c r="P83" s="130" t="s">
        <v>367</v>
      </c>
      <c r="Q83" s="250" t="s">
        <v>124</v>
      </c>
      <c r="R83" s="330"/>
    </row>
    <row r="84" spans="1:18" ht="13.5" customHeight="1">
      <c r="A84" s="131" t="s">
        <v>342</v>
      </c>
      <c r="B84" s="267"/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</row>
    <row r="85" spans="1:18" ht="13.5" customHeight="1">
      <c r="A85" s="137" t="s">
        <v>343</v>
      </c>
      <c r="B85" s="110"/>
      <c r="C85" s="110">
        <f>150000-10761.72-8735.51-6481.87</f>
        <v>124020.90000000001</v>
      </c>
      <c r="D85" s="110"/>
      <c r="E85" s="113"/>
      <c r="F85" s="110"/>
      <c r="G85" s="110">
        <f>30000-1137.7-522.95-561.82</f>
        <v>27777.53</v>
      </c>
      <c r="H85" s="110"/>
      <c r="I85" s="110"/>
      <c r="J85" s="110"/>
      <c r="K85" s="110"/>
      <c r="L85" s="110"/>
      <c r="M85" s="110"/>
      <c r="N85" s="110"/>
      <c r="O85" s="110"/>
      <c r="P85" s="110"/>
      <c r="Q85" s="110"/>
      <c r="R85" s="110">
        <f>SUM(C85:P85)</f>
        <v>151798.43</v>
      </c>
    </row>
    <row r="86" spans="1:18" ht="13.5" customHeight="1">
      <c r="A86" s="133" t="s">
        <v>344</v>
      </c>
      <c r="B86" s="113"/>
      <c r="C86" s="113">
        <f>6000-630-180-250</f>
        <v>4940</v>
      </c>
      <c r="D86" s="113"/>
      <c r="E86" s="113"/>
      <c r="F86" s="273"/>
      <c r="G86" s="113">
        <f>5000-30-35-160</f>
        <v>4775</v>
      </c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>
        <f>SUM(C86:P86)</f>
        <v>9715</v>
      </c>
    </row>
    <row r="87" spans="1:18" ht="13.5" customHeight="1">
      <c r="A87" s="133" t="s">
        <v>345</v>
      </c>
      <c r="B87" s="113"/>
      <c r="C87" s="113">
        <f>20000-1134.2-1057.16-1033.62-986.54</f>
        <v>15788.48</v>
      </c>
      <c r="D87" s="270" t="s">
        <v>474</v>
      </c>
      <c r="E87" s="270"/>
      <c r="F87" s="271"/>
      <c r="G87" s="113">
        <f>10000-432.28-428-449.4-430.14</f>
        <v>8260.18</v>
      </c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>
        <f>SUM(C87:P87)</f>
        <v>24048.66</v>
      </c>
    </row>
    <row r="88" spans="1:18" ht="13.5" customHeight="1">
      <c r="A88" s="132" t="s">
        <v>346</v>
      </c>
      <c r="B88" s="113"/>
      <c r="C88" s="113">
        <f>10000-10000</f>
        <v>0</v>
      </c>
      <c r="D88" s="126"/>
      <c r="E88" s="126"/>
      <c r="F88" s="272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>
        <f>SUM(C88:Q88)</f>
        <v>0</v>
      </c>
    </row>
    <row r="89" spans="1:18" ht="13.5" customHeight="1">
      <c r="A89" s="133" t="s">
        <v>347</v>
      </c>
      <c r="B89" s="114"/>
      <c r="C89" s="114">
        <f>90000-5339.3-5339.3-5339.3-5339.3</f>
        <v>68642.79999999999</v>
      </c>
      <c r="D89" s="129"/>
      <c r="E89" s="129"/>
      <c r="F89" s="274"/>
      <c r="G89" s="114">
        <f>25000-1701.3-1701.3-1701.3-1701.3</f>
        <v>18194.800000000003</v>
      </c>
      <c r="H89" s="114"/>
      <c r="I89" s="114"/>
      <c r="J89" s="114"/>
      <c r="K89" s="114"/>
      <c r="L89" s="114"/>
      <c r="M89" s="114"/>
      <c r="N89" s="114"/>
      <c r="O89" s="114"/>
      <c r="P89" s="114"/>
      <c r="Q89" s="114"/>
      <c r="R89" s="114">
        <f>SUM(C89:P89)</f>
        <v>86837.59999999999</v>
      </c>
    </row>
    <row r="90" spans="1:18" ht="13.5" customHeight="1" thickBot="1">
      <c r="A90" s="133" t="s">
        <v>38</v>
      </c>
      <c r="B90" s="103"/>
      <c r="C90" s="103">
        <f>SUM(C85:C89)</f>
        <v>213392.18</v>
      </c>
      <c r="D90" s="103">
        <v>0</v>
      </c>
      <c r="E90" s="103">
        <v>0</v>
      </c>
      <c r="F90" s="103">
        <v>0</v>
      </c>
      <c r="G90" s="103">
        <f>SUM(G84:G89)</f>
        <v>59007.51</v>
      </c>
      <c r="H90" s="103">
        <v>0</v>
      </c>
      <c r="I90" s="103">
        <v>0</v>
      </c>
      <c r="J90" s="103">
        <v>0</v>
      </c>
      <c r="K90" s="103">
        <v>0</v>
      </c>
      <c r="L90" s="103">
        <v>0</v>
      </c>
      <c r="M90" s="103">
        <v>0</v>
      </c>
      <c r="N90" s="103">
        <v>0</v>
      </c>
      <c r="O90" s="103">
        <v>0</v>
      </c>
      <c r="P90" s="103">
        <v>0</v>
      </c>
      <c r="Q90" s="103"/>
      <c r="R90" s="115">
        <f>SUM(C90:P90)</f>
        <v>272399.69</v>
      </c>
    </row>
    <row r="91" spans="1:18" ht="13.5" customHeight="1" thickTop="1">
      <c r="A91" s="135" t="s">
        <v>348</v>
      </c>
      <c r="B91" s="117"/>
      <c r="C91" s="117"/>
      <c r="D91" s="117"/>
      <c r="E91" s="117"/>
      <c r="F91" s="117"/>
      <c r="G91" s="117"/>
      <c r="H91" s="117"/>
      <c r="I91" s="117"/>
      <c r="J91" s="127"/>
      <c r="K91" s="117"/>
      <c r="L91" s="117"/>
      <c r="M91" s="117"/>
      <c r="N91" s="117"/>
      <c r="O91" s="118"/>
      <c r="P91" s="117"/>
      <c r="Q91" s="117"/>
      <c r="R91" s="118"/>
    </row>
    <row r="92" spans="1:18" ht="13.5" customHeight="1">
      <c r="A92" s="133" t="s">
        <v>349</v>
      </c>
      <c r="B92" s="119"/>
      <c r="C92" s="119">
        <v>80000</v>
      </c>
      <c r="D92" s="119"/>
      <c r="E92" s="119"/>
      <c r="F92" s="119"/>
      <c r="G92" s="119">
        <v>20000</v>
      </c>
      <c r="H92" s="119"/>
      <c r="I92" s="119"/>
      <c r="J92" s="125"/>
      <c r="K92" s="119"/>
      <c r="L92" s="119">
        <v>18000</v>
      </c>
      <c r="M92" s="119"/>
      <c r="N92" s="119"/>
      <c r="O92" s="113"/>
      <c r="P92" s="119"/>
      <c r="Q92" s="119"/>
      <c r="R92" s="113">
        <f aca="true" t="shared" si="3" ref="R92:R99">SUM(C92:Q92)</f>
        <v>118000</v>
      </c>
    </row>
    <row r="93" spans="1:18" ht="13.5" customHeight="1">
      <c r="A93" s="133" t="s">
        <v>350</v>
      </c>
      <c r="B93" s="119"/>
      <c r="C93" s="119"/>
      <c r="D93" s="119"/>
      <c r="E93" s="119"/>
      <c r="F93" s="119"/>
      <c r="G93" s="119"/>
      <c r="H93" s="119"/>
      <c r="I93" s="119"/>
      <c r="J93" s="119"/>
      <c r="K93" s="119"/>
      <c r="L93" s="119">
        <v>25000</v>
      </c>
      <c r="M93" s="119"/>
      <c r="N93" s="119"/>
      <c r="O93" s="113"/>
      <c r="P93" s="119"/>
      <c r="Q93" s="119"/>
      <c r="R93" s="113">
        <f t="shared" si="3"/>
        <v>25000</v>
      </c>
    </row>
    <row r="94" spans="1:18" ht="13.5" customHeight="1">
      <c r="A94" s="246" t="s">
        <v>351</v>
      </c>
      <c r="B94" s="119"/>
      <c r="C94" s="119"/>
      <c r="D94" s="119"/>
      <c r="E94" s="119"/>
      <c r="F94" s="119"/>
      <c r="G94" s="119">
        <v>15000</v>
      </c>
      <c r="H94" s="119"/>
      <c r="I94" s="119"/>
      <c r="J94" s="119"/>
      <c r="K94" s="119"/>
      <c r="L94" s="119"/>
      <c r="M94" s="119"/>
      <c r="N94" s="119"/>
      <c r="O94" s="113"/>
      <c r="P94" s="119"/>
      <c r="Q94" s="119"/>
      <c r="R94" s="113">
        <f t="shared" si="3"/>
        <v>15000</v>
      </c>
    </row>
    <row r="95" spans="1:18" ht="13.5" customHeight="1">
      <c r="A95" s="242" t="s">
        <v>352</v>
      </c>
      <c r="B95" s="119"/>
      <c r="C95" s="119"/>
      <c r="D95" s="119"/>
      <c r="E95" s="119"/>
      <c r="F95" s="119"/>
      <c r="G95" s="119"/>
      <c r="H95" s="119">
        <v>10000</v>
      </c>
      <c r="I95" s="119"/>
      <c r="J95" s="119"/>
      <c r="K95" s="119"/>
      <c r="L95" s="119"/>
      <c r="M95" s="119"/>
      <c r="N95" s="119"/>
      <c r="O95" s="113"/>
      <c r="P95" s="119"/>
      <c r="Q95" s="119"/>
      <c r="R95" s="113">
        <f t="shared" si="3"/>
        <v>10000</v>
      </c>
    </row>
    <row r="96" spans="1:18" ht="13.5" customHeight="1">
      <c r="A96" s="246" t="s">
        <v>353</v>
      </c>
      <c r="B96" s="119"/>
      <c r="C96" s="119"/>
      <c r="D96" s="119"/>
      <c r="E96" s="119"/>
      <c r="F96" s="119"/>
      <c r="G96" s="119">
        <v>30000</v>
      </c>
      <c r="H96" s="119"/>
      <c r="I96" s="119"/>
      <c r="J96" s="119"/>
      <c r="K96" s="119"/>
      <c r="L96" s="119"/>
      <c r="M96" s="119"/>
      <c r="N96" s="119"/>
      <c r="O96" s="113"/>
      <c r="P96" s="119"/>
      <c r="Q96" s="119"/>
      <c r="R96" s="113">
        <f t="shared" si="3"/>
        <v>30000</v>
      </c>
    </row>
    <row r="97" spans="1:18" ht="13.5" customHeight="1">
      <c r="A97" s="247" t="s">
        <v>354</v>
      </c>
      <c r="B97" s="125"/>
      <c r="C97" s="125"/>
      <c r="D97" s="125"/>
      <c r="E97" s="125"/>
      <c r="F97" s="125"/>
      <c r="G97" s="125">
        <v>5000</v>
      </c>
      <c r="H97" s="125"/>
      <c r="I97" s="125"/>
      <c r="J97" s="125"/>
      <c r="K97" s="125"/>
      <c r="L97" s="125"/>
      <c r="M97" s="125"/>
      <c r="N97" s="125"/>
      <c r="O97" s="126"/>
      <c r="P97" s="125"/>
      <c r="Q97" s="125"/>
      <c r="R97" s="126">
        <f t="shared" si="3"/>
        <v>5000</v>
      </c>
    </row>
    <row r="98" spans="1:18" ht="13.5" customHeight="1">
      <c r="A98" s="246" t="s">
        <v>355</v>
      </c>
      <c r="B98" s="119"/>
      <c r="C98" s="119"/>
      <c r="D98" s="119"/>
      <c r="E98" s="119"/>
      <c r="F98" s="119"/>
      <c r="G98" s="119">
        <v>5000</v>
      </c>
      <c r="H98" s="119"/>
      <c r="I98" s="119"/>
      <c r="J98" s="119"/>
      <c r="K98" s="119"/>
      <c r="L98" s="119"/>
      <c r="M98" s="119"/>
      <c r="N98" s="119"/>
      <c r="O98" s="113"/>
      <c r="P98" s="119"/>
      <c r="Q98" s="119"/>
      <c r="R98" s="113">
        <f t="shared" si="3"/>
        <v>5000</v>
      </c>
    </row>
    <row r="99" spans="1:18" ht="13.5" customHeight="1">
      <c r="A99" s="132" t="s">
        <v>356</v>
      </c>
      <c r="B99" s="120"/>
      <c r="C99" s="120">
        <v>50000</v>
      </c>
      <c r="D99" s="120"/>
      <c r="E99" s="120"/>
      <c r="F99" s="120"/>
      <c r="G99" s="120">
        <f>20000-19000</f>
        <v>1000</v>
      </c>
      <c r="H99" s="197"/>
      <c r="I99" s="120"/>
      <c r="J99" s="120"/>
      <c r="K99" s="120"/>
      <c r="L99" s="120">
        <v>20000</v>
      </c>
      <c r="M99" s="120"/>
      <c r="N99" s="120"/>
      <c r="O99" s="110"/>
      <c r="P99" s="120"/>
      <c r="Q99" s="120"/>
      <c r="R99" s="257">
        <f t="shared" si="3"/>
        <v>71000</v>
      </c>
    </row>
    <row r="100" spans="1:18" ht="13.5" customHeight="1" thickBot="1">
      <c r="A100" s="133" t="s">
        <v>38</v>
      </c>
      <c r="B100" s="136"/>
      <c r="C100" s="136">
        <f>SUM(C92:C99)</f>
        <v>130000</v>
      </c>
      <c r="D100" s="136">
        <v>0</v>
      </c>
      <c r="E100" s="136">
        <v>0</v>
      </c>
      <c r="F100" s="136">
        <v>0</v>
      </c>
      <c r="G100" s="136">
        <f>SUM(G92:G99)</f>
        <v>76000</v>
      </c>
      <c r="H100" s="136">
        <f>SUM(H92:H99)</f>
        <v>10000</v>
      </c>
      <c r="I100" s="136">
        <v>0</v>
      </c>
      <c r="J100" s="136">
        <v>0</v>
      </c>
      <c r="K100" s="136">
        <v>0</v>
      </c>
      <c r="L100" s="136">
        <f>SUM(L92:L99)</f>
        <v>63000</v>
      </c>
      <c r="M100" s="136">
        <v>0</v>
      </c>
      <c r="N100" s="136">
        <v>0</v>
      </c>
      <c r="O100" s="136">
        <v>0</v>
      </c>
      <c r="P100" s="136">
        <v>0</v>
      </c>
      <c r="Q100" s="136"/>
      <c r="R100" s="258">
        <f>SUM(R92:R99)</f>
        <v>279000</v>
      </c>
    </row>
    <row r="101" spans="1:18" ht="13.5" customHeight="1" thickTop="1">
      <c r="A101" s="137" t="s">
        <v>357</v>
      </c>
      <c r="B101" s="125"/>
      <c r="C101" s="125"/>
      <c r="D101" s="125"/>
      <c r="E101" s="125"/>
      <c r="F101" s="125"/>
      <c r="G101" s="125"/>
      <c r="H101" s="125"/>
      <c r="I101" s="125"/>
      <c r="J101" s="125"/>
      <c r="K101" s="125"/>
      <c r="L101" s="125"/>
      <c r="M101" s="125"/>
      <c r="N101" s="126"/>
      <c r="O101" s="126"/>
      <c r="P101" s="126"/>
      <c r="Q101" s="126"/>
      <c r="R101" s="126"/>
    </row>
    <row r="102" spans="1:18" ht="13.5" customHeight="1">
      <c r="A102" s="137" t="s">
        <v>358</v>
      </c>
      <c r="B102" s="125"/>
      <c r="C102" s="125"/>
      <c r="D102" s="125"/>
      <c r="E102" s="125"/>
      <c r="F102" s="125"/>
      <c r="G102" s="125"/>
      <c r="H102" s="125">
        <v>40000</v>
      </c>
      <c r="I102" s="125"/>
      <c r="J102" s="125"/>
      <c r="K102" s="125"/>
      <c r="L102" s="125"/>
      <c r="M102" s="125"/>
      <c r="N102" s="125"/>
      <c r="O102" s="126"/>
      <c r="P102" s="125"/>
      <c r="Q102" s="125"/>
      <c r="R102" s="126">
        <f>SUM(H102:Q102)</f>
        <v>40000</v>
      </c>
    </row>
    <row r="103" spans="1:18" ht="13.5" customHeight="1">
      <c r="A103" s="137" t="s">
        <v>359</v>
      </c>
      <c r="B103" s="125"/>
      <c r="C103" s="125"/>
      <c r="D103" s="125"/>
      <c r="E103" s="113"/>
      <c r="F103" s="125"/>
      <c r="G103" s="125"/>
      <c r="H103" s="125">
        <v>70000</v>
      </c>
      <c r="I103" s="125"/>
      <c r="J103" s="125"/>
      <c r="K103" s="125"/>
      <c r="L103" s="125"/>
      <c r="M103" s="125"/>
      <c r="N103" s="125"/>
      <c r="O103" s="126"/>
      <c r="P103" s="125"/>
      <c r="Q103" s="125"/>
      <c r="R103" s="126">
        <f>SUM(H103:Q103)</f>
        <v>70000</v>
      </c>
    </row>
    <row r="104" spans="1:18" ht="13.5" customHeight="1">
      <c r="A104" s="133" t="s">
        <v>360</v>
      </c>
      <c r="B104" s="119"/>
      <c r="C104" s="119"/>
      <c r="D104" s="119"/>
      <c r="E104" s="241"/>
      <c r="F104" s="119"/>
      <c r="G104" s="119"/>
      <c r="H104" s="119"/>
      <c r="I104" s="119"/>
      <c r="J104" s="119"/>
      <c r="K104" s="119"/>
      <c r="L104" s="119"/>
      <c r="M104" s="119"/>
      <c r="N104" s="119"/>
      <c r="O104" s="113"/>
      <c r="P104" s="119"/>
      <c r="Q104" s="119">
        <v>4451900</v>
      </c>
      <c r="R104" s="113">
        <f>SUM(C104:Q104)</f>
        <v>4451900</v>
      </c>
    </row>
    <row r="105" spans="1:18" ht="13.5" customHeight="1" thickBot="1">
      <c r="A105" s="133" t="s">
        <v>38</v>
      </c>
      <c r="B105" s="136"/>
      <c r="C105" s="136">
        <f>SUM(C103:C104)</f>
        <v>0</v>
      </c>
      <c r="D105" s="136">
        <v>0</v>
      </c>
      <c r="E105" s="136">
        <v>0</v>
      </c>
      <c r="F105" s="136">
        <v>0</v>
      </c>
      <c r="G105" s="136">
        <v>0</v>
      </c>
      <c r="H105" s="136">
        <f>SUM(H102:H104)</f>
        <v>110000</v>
      </c>
      <c r="I105" s="136">
        <v>0</v>
      </c>
      <c r="J105" s="136">
        <v>0</v>
      </c>
      <c r="K105" s="136">
        <v>0</v>
      </c>
      <c r="L105" s="136">
        <v>0</v>
      </c>
      <c r="M105" s="136">
        <v>0</v>
      </c>
      <c r="N105" s="136">
        <v>0</v>
      </c>
      <c r="O105" s="136">
        <v>0</v>
      </c>
      <c r="P105" s="136">
        <v>0</v>
      </c>
      <c r="Q105" s="136">
        <f>SUM(Q102:Q104)</f>
        <v>4451900</v>
      </c>
      <c r="R105" s="258">
        <f>SUM(R102:R104)</f>
        <v>4561900</v>
      </c>
    </row>
    <row r="106" spans="1:18" ht="13.5" customHeight="1" thickTop="1">
      <c r="A106" s="137" t="s">
        <v>361</v>
      </c>
      <c r="B106" s="125"/>
      <c r="C106" s="125"/>
      <c r="D106" s="125"/>
      <c r="E106" s="125"/>
      <c r="F106" s="125"/>
      <c r="G106" s="125"/>
      <c r="H106" s="125"/>
      <c r="I106" s="125"/>
      <c r="J106" s="125"/>
      <c r="K106" s="125"/>
      <c r="L106" s="125"/>
      <c r="M106" s="126"/>
      <c r="N106" s="125"/>
      <c r="O106" s="126"/>
      <c r="P106" s="125"/>
      <c r="Q106" s="125"/>
      <c r="R106" s="126"/>
    </row>
    <row r="107" spans="1:18" ht="13.5" customHeight="1">
      <c r="A107" s="137" t="s">
        <v>362</v>
      </c>
      <c r="B107" s="113"/>
      <c r="C107" s="119">
        <f>9000-9000</f>
        <v>0</v>
      </c>
      <c r="D107" s="119"/>
      <c r="E107" s="119"/>
      <c r="F107" s="119"/>
      <c r="G107" s="119"/>
      <c r="H107" s="119"/>
      <c r="I107" s="119"/>
      <c r="J107" s="119"/>
      <c r="K107" s="119"/>
      <c r="L107" s="119"/>
      <c r="M107" s="119"/>
      <c r="N107" s="119"/>
      <c r="O107" s="113"/>
      <c r="P107" s="119"/>
      <c r="Q107" s="119"/>
      <c r="R107" s="113">
        <f>SUM(C107:Q107)</f>
        <v>0</v>
      </c>
    </row>
    <row r="108" spans="1:18" ht="13.5" customHeight="1">
      <c r="A108" s="137" t="s">
        <v>363</v>
      </c>
      <c r="B108" s="120"/>
      <c r="C108" s="119">
        <v>50000</v>
      </c>
      <c r="D108" s="119"/>
      <c r="E108" s="119"/>
      <c r="F108" s="119"/>
      <c r="G108" s="119"/>
      <c r="H108" s="119">
        <f>2120000-1058000</f>
        <v>1062000</v>
      </c>
      <c r="I108" s="119"/>
      <c r="J108" s="119"/>
      <c r="K108" s="119"/>
      <c r="L108" s="119"/>
      <c r="M108" s="119"/>
      <c r="N108" s="119"/>
      <c r="O108" s="119">
        <v>0</v>
      </c>
      <c r="P108" s="113"/>
      <c r="Q108" s="113"/>
      <c r="R108" s="113">
        <f>SUM(C108:P108)</f>
        <v>1112000</v>
      </c>
    </row>
    <row r="109" spans="1:18" ht="13.5" customHeight="1">
      <c r="A109" s="133" t="s">
        <v>364</v>
      </c>
      <c r="B109" s="119"/>
      <c r="C109" s="119">
        <v>5000</v>
      </c>
      <c r="D109" s="119"/>
      <c r="E109" s="119"/>
      <c r="F109" s="119"/>
      <c r="G109" s="119"/>
      <c r="H109" s="119"/>
      <c r="I109" s="119">
        <v>120000</v>
      </c>
      <c r="J109" s="119"/>
      <c r="K109" s="119"/>
      <c r="L109" s="119"/>
      <c r="M109" s="119"/>
      <c r="N109" s="119"/>
      <c r="O109" s="119"/>
      <c r="P109" s="113"/>
      <c r="Q109" s="113"/>
      <c r="R109" s="113">
        <f>SUM(C109:P109)</f>
        <v>125000</v>
      </c>
    </row>
    <row r="110" spans="1:18" ht="13.5" customHeight="1" thickBot="1">
      <c r="A110" s="133" t="s">
        <v>38</v>
      </c>
      <c r="B110" s="136"/>
      <c r="C110" s="136">
        <f>SUM(C107:C109)</f>
        <v>55000</v>
      </c>
      <c r="D110" s="136">
        <v>0</v>
      </c>
      <c r="E110" s="136">
        <v>0</v>
      </c>
      <c r="F110" s="136">
        <v>0</v>
      </c>
      <c r="G110" s="136">
        <v>0</v>
      </c>
      <c r="H110" s="136">
        <f>SUM(H108)</f>
        <v>1062000</v>
      </c>
      <c r="I110" s="136">
        <f>SUM(I109)</f>
        <v>120000</v>
      </c>
      <c r="J110" s="136">
        <v>0</v>
      </c>
      <c r="K110" s="136">
        <v>0</v>
      </c>
      <c r="L110" s="136">
        <v>0</v>
      </c>
      <c r="M110" s="136">
        <f>SUM(M106:M109)</f>
        <v>0</v>
      </c>
      <c r="N110" s="136">
        <f>SUM(N108:N109)</f>
        <v>0</v>
      </c>
      <c r="O110" s="136">
        <f>SUM(O108:O109)</f>
        <v>0</v>
      </c>
      <c r="P110" s="136">
        <f>SUM(P106:P109)</f>
        <v>0</v>
      </c>
      <c r="Q110" s="136"/>
      <c r="R110" s="258">
        <f>SUM(C110:P110)</f>
        <v>1237000</v>
      </c>
    </row>
    <row r="111" spans="1:18" ht="13.5" customHeight="1" thickTop="1">
      <c r="A111" s="137" t="s">
        <v>365</v>
      </c>
      <c r="B111" s="120"/>
      <c r="C111" s="125"/>
      <c r="D111" s="125"/>
      <c r="E111" s="125"/>
      <c r="F111" s="125"/>
      <c r="G111" s="125"/>
      <c r="H111" s="125"/>
      <c r="I111" s="125"/>
      <c r="J111" s="125"/>
      <c r="K111" s="125"/>
      <c r="L111" s="125"/>
      <c r="M111" s="125"/>
      <c r="N111" s="125"/>
      <c r="O111" s="126"/>
      <c r="P111" s="125"/>
      <c r="Q111" s="125"/>
      <c r="R111" s="126"/>
    </row>
    <row r="112" spans="1:18" ht="13.5" customHeight="1">
      <c r="A112" s="137" t="s">
        <v>366</v>
      </c>
      <c r="B112" s="121"/>
      <c r="C112" s="120"/>
      <c r="D112" s="120">
        <v>25000</v>
      </c>
      <c r="E112" s="120"/>
      <c r="F112" s="120"/>
      <c r="G112" s="120"/>
      <c r="H112" s="120"/>
      <c r="I112" s="120"/>
      <c r="J112" s="120"/>
      <c r="K112" s="120"/>
      <c r="L112" s="120"/>
      <c r="M112" s="120"/>
      <c r="N112" s="120"/>
      <c r="O112" s="110"/>
      <c r="P112" s="120"/>
      <c r="Q112" s="120"/>
      <c r="R112" s="110">
        <f>SUM(B112:P112)</f>
        <v>25000</v>
      </c>
    </row>
    <row r="113" spans="1:18" ht="13.5" customHeight="1" thickBot="1">
      <c r="A113" s="133" t="s">
        <v>38</v>
      </c>
      <c r="B113" s="136">
        <v>0</v>
      </c>
      <c r="C113" s="136">
        <v>0</v>
      </c>
      <c r="D113" s="258">
        <f>SUM(D112)</f>
        <v>25000</v>
      </c>
      <c r="E113" s="136">
        <v>0</v>
      </c>
      <c r="F113" s="136">
        <v>0</v>
      </c>
      <c r="G113" s="136">
        <v>0</v>
      </c>
      <c r="H113" s="136">
        <v>0</v>
      </c>
      <c r="I113" s="136">
        <v>0</v>
      </c>
      <c r="J113" s="136">
        <v>0</v>
      </c>
      <c r="K113" s="136">
        <v>0</v>
      </c>
      <c r="L113" s="136">
        <v>0</v>
      </c>
      <c r="M113" s="136">
        <v>0</v>
      </c>
      <c r="N113" s="136">
        <v>0</v>
      </c>
      <c r="O113" s="136">
        <v>0</v>
      </c>
      <c r="P113" s="136">
        <v>0</v>
      </c>
      <c r="Q113" s="136"/>
      <c r="R113" s="258">
        <f>SUM(B113:P113)</f>
        <v>25000</v>
      </c>
    </row>
    <row r="114" spans="1:18" ht="13.5" customHeight="1" thickBot="1" thickTop="1">
      <c r="A114" s="134" t="s">
        <v>39</v>
      </c>
      <c r="B114" s="251">
        <f>SUM(B13)</f>
        <v>293747</v>
      </c>
      <c r="C114" s="252">
        <f>SUM(C13+C21+C26+C30+C47+C54+C60+C76+C90+C100+C110)</f>
        <v>5466788.9399999995</v>
      </c>
      <c r="D114" s="252">
        <f>SUM(D13+D21+D26+D30+D47+D54+D60+D76+D90+D100+D105+D110+D113)</f>
        <v>55000</v>
      </c>
      <c r="E114" s="252">
        <f aca="true" t="shared" si="4" ref="E114:Q114">SUM(E13+E21+E26+E30+E47+E54+E60+E76+E90+E100+E105+E110)</f>
        <v>1631108</v>
      </c>
      <c r="F114" s="252">
        <f t="shared" si="4"/>
        <v>222700</v>
      </c>
      <c r="G114" s="252">
        <f t="shared" si="4"/>
        <v>966504.51</v>
      </c>
      <c r="H114" s="252">
        <f t="shared" si="4"/>
        <v>2397549.2199999997</v>
      </c>
      <c r="I114" s="252">
        <f t="shared" si="4"/>
        <v>292000</v>
      </c>
      <c r="J114" s="252">
        <f t="shared" si="4"/>
        <v>37750</v>
      </c>
      <c r="K114" s="252">
        <f t="shared" si="4"/>
        <v>90000</v>
      </c>
      <c r="L114" s="252">
        <f t="shared" si="4"/>
        <v>998675</v>
      </c>
      <c r="M114" s="252">
        <f t="shared" si="4"/>
        <v>150000</v>
      </c>
      <c r="N114" s="252">
        <f t="shared" si="4"/>
        <v>160000</v>
      </c>
      <c r="O114" s="252">
        <f t="shared" si="4"/>
        <v>54445</v>
      </c>
      <c r="P114" s="252">
        <f t="shared" si="4"/>
        <v>30000</v>
      </c>
      <c r="Q114" s="252">
        <f t="shared" si="4"/>
        <v>4451900</v>
      </c>
      <c r="R114" s="251">
        <f>SUM(B114:Q114)</f>
        <v>17298167.669999998</v>
      </c>
    </row>
    <row r="115" ht="15" thickTop="1"/>
  </sheetData>
  <sheetProtection/>
  <mergeCells count="27">
    <mergeCell ref="R82:R83"/>
    <mergeCell ref="P42:Q42"/>
    <mergeCell ref="P82:Q82"/>
    <mergeCell ref="B82:B83"/>
    <mergeCell ref="C82:E82"/>
    <mergeCell ref="G82:H82"/>
    <mergeCell ref="I82:J82"/>
    <mergeCell ref="L82:M82"/>
    <mergeCell ref="N82:O82"/>
    <mergeCell ref="R5:R6"/>
    <mergeCell ref="B42:B43"/>
    <mergeCell ref="C42:E42"/>
    <mergeCell ref="G42:H42"/>
    <mergeCell ref="I42:J42"/>
    <mergeCell ref="L42:M42"/>
    <mergeCell ref="N42:O42"/>
    <mergeCell ref="R42:R43"/>
    <mergeCell ref="A1:R1"/>
    <mergeCell ref="A2:R2"/>
    <mergeCell ref="A3:R3"/>
    <mergeCell ref="B5:B6"/>
    <mergeCell ref="C5:E5"/>
    <mergeCell ref="G5:H5"/>
    <mergeCell ref="I5:J5"/>
    <mergeCell ref="L5:M5"/>
    <mergeCell ref="N5:O5"/>
    <mergeCell ref="P5:Q5"/>
  </mergeCells>
  <printOptions/>
  <pageMargins left="0.1968503937007874" right="0.1968503937007874" top="0.2362204724409449" bottom="0.1968503937007874" header="0.2755905511811024" footer="0.1968503937007874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120"/>
  <sheetViews>
    <sheetView view="pageBreakPreview" zoomScaleSheetLayoutView="100" zoomScalePageLayoutView="0" workbookViewId="0" topLeftCell="A112">
      <selection activeCell="C111" sqref="C111"/>
    </sheetView>
  </sheetViews>
  <sheetFormatPr defaultColWidth="9.140625" defaultRowHeight="12.75"/>
  <cols>
    <col min="1" max="1" width="12.421875" style="111" customWidth="1"/>
    <col min="2" max="2" width="7.7109375" style="124" customWidth="1"/>
    <col min="3" max="3" width="7.57421875" style="124" customWidth="1"/>
    <col min="4" max="4" width="7.7109375" style="124" customWidth="1"/>
    <col min="5" max="6" width="7.421875" style="124" customWidth="1"/>
    <col min="7" max="7" width="7.57421875" style="124" customWidth="1"/>
    <col min="8" max="9" width="7.421875" style="124" customWidth="1"/>
    <col min="10" max="10" width="7.28125" style="124" customWidth="1"/>
    <col min="11" max="11" width="7.140625" style="124" customWidth="1"/>
    <col min="12" max="12" width="7.421875" style="124" customWidth="1"/>
    <col min="13" max="13" width="7.140625" style="124" customWidth="1"/>
    <col min="14" max="14" width="7.421875" style="124" customWidth="1"/>
    <col min="15" max="15" width="7.57421875" style="124" customWidth="1"/>
    <col min="16" max="16" width="7.421875" style="104" customWidth="1"/>
    <col min="17" max="17" width="7.57421875" style="104" customWidth="1"/>
    <col min="18" max="18" width="9.7109375" style="104" customWidth="1"/>
    <col min="19" max="16384" width="9.140625" style="105" customWidth="1"/>
  </cols>
  <sheetData>
    <row r="1" spans="1:18" ht="16.5">
      <c r="A1" s="325" t="s">
        <v>100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</row>
    <row r="2" spans="1:18" ht="16.5">
      <c r="A2" s="325" t="s">
        <v>450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</row>
    <row r="3" spans="1:18" ht="16.5">
      <c r="A3" s="325" t="s">
        <v>451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25"/>
    </row>
    <row r="4" spans="1:18" ht="16.5">
      <c r="A4" s="326" t="s">
        <v>475</v>
      </c>
      <c r="B4" s="326"/>
      <c r="C4" s="326"/>
      <c r="D4" s="326"/>
      <c r="E4" s="326"/>
      <c r="F4" s="326"/>
      <c r="G4" s="326"/>
      <c r="H4" s="326"/>
      <c r="I4" s="326"/>
      <c r="J4" s="326"/>
      <c r="K4" s="326"/>
      <c r="L4" s="326"/>
      <c r="M4" s="326"/>
      <c r="N4" s="326"/>
      <c r="O4" s="326"/>
      <c r="P4" s="326"/>
      <c r="Q4" s="326"/>
      <c r="R4" s="326"/>
    </row>
    <row r="5" s="168" customFormat="1" ht="14.25">
      <c r="Q5" s="249"/>
    </row>
    <row r="6" spans="1:18" s="107" customFormat="1" ht="14.25">
      <c r="A6" s="108" t="s">
        <v>125</v>
      </c>
      <c r="B6" s="323" t="s">
        <v>101</v>
      </c>
      <c r="C6" s="324" t="s">
        <v>102</v>
      </c>
      <c r="D6" s="324"/>
      <c r="E6" s="324"/>
      <c r="F6" s="130" t="s">
        <v>103</v>
      </c>
      <c r="G6" s="324" t="s">
        <v>104</v>
      </c>
      <c r="H6" s="324"/>
      <c r="I6" s="324" t="s">
        <v>105</v>
      </c>
      <c r="J6" s="324"/>
      <c r="K6" s="130" t="s">
        <v>106</v>
      </c>
      <c r="L6" s="324" t="s">
        <v>107</v>
      </c>
      <c r="M6" s="324"/>
      <c r="N6" s="324" t="s">
        <v>108</v>
      </c>
      <c r="O6" s="324"/>
      <c r="P6" s="327" t="s">
        <v>123</v>
      </c>
      <c r="Q6" s="328"/>
      <c r="R6" s="329" t="s">
        <v>20</v>
      </c>
    </row>
    <row r="7" spans="1:18" s="107" customFormat="1" ht="14.25">
      <c r="A7" s="109" t="s">
        <v>126</v>
      </c>
      <c r="B7" s="323"/>
      <c r="C7" s="130" t="s">
        <v>109</v>
      </c>
      <c r="D7" s="130" t="s">
        <v>121</v>
      </c>
      <c r="E7" s="130" t="s">
        <v>110</v>
      </c>
      <c r="F7" s="130" t="s">
        <v>111</v>
      </c>
      <c r="G7" s="130" t="s">
        <v>112</v>
      </c>
      <c r="H7" s="130" t="s">
        <v>113</v>
      </c>
      <c r="I7" s="130" t="s">
        <v>114</v>
      </c>
      <c r="J7" s="130" t="s">
        <v>115</v>
      </c>
      <c r="K7" s="130" t="s">
        <v>122</v>
      </c>
      <c r="L7" s="130" t="s">
        <v>116</v>
      </c>
      <c r="M7" s="130" t="s">
        <v>117</v>
      </c>
      <c r="N7" s="130" t="s">
        <v>118</v>
      </c>
      <c r="O7" s="130" t="s">
        <v>119</v>
      </c>
      <c r="P7" s="130" t="s">
        <v>367</v>
      </c>
      <c r="Q7" s="250" t="s">
        <v>124</v>
      </c>
      <c r="R7" s="330"/>
    </row>
    <row r="8" spans="1:18" ht="14.25">
      <c r="A8" s="131" t="s">
        <v>296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</row>
    <row r="9" spans="1:18" ht="14.25">
      <c r="A9" s="132" t="s">
        <v>297</v>
      </c>
      <c r="B9" s="110">
        <v>0</v>
      </c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>
        <f>SUM(B9:P9)</f>
        <v>0</v>
      </c>
    </row>
    <row r="10" spans="1:18" ht="14.25">
      <c r="A10" s="133" t="s">
        <v>298</v>
      </c>
      <c r="B10" s="113">
        <v>0</v>
      </c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>
        <f>SUM(B10:Q10)</f>
        <v>0</v>
      </c>
    </row>
    <row r="11" spans="1:18" ht="14.25">
      <c r="A11" s="133" t="s">
        <v>299</v>
      </c>
      <c r="B11" s="113">
        <v>0</v>
      </c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>
        <f>SUM(B11:P11)</f>
        <v>0</v>
      </c>
    </row>
    <row r="12" spans="1:18" ht="14.25">
      <c r="A12" s="133" t="s">
        <v>300</v>
      </c>
      <c r="B12" s="113">
        <v>0</v>
      </c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>
        <f>SUM(B12:P12)</f>
        <v>0</v>
      </c>
    </row>
    <row r="13" spans="1:18" ht="14.25">
      <c r="A13" s="133" t="s">
        <v>301</v>
      </c>
      <c r="B13" s="129">
        <v>0</v>
      </c>
      <c r="C13" s="241"/>
      <c r="D13" s="241"/>
      <c r="E13" s="241"/>
      <c r="F13" s="241"/>
      <c r="G13" s="241"/>
      <c r="H13" s="241"/>
      <c r="I13" s="241"/>
      <c r="J13" s="241"/>
      <c r="K13" s="241"/>
      <c r="L13" s="241"/>
      <c r="M13" s="241"/>
      <c r="N13" s="241"/>
      <c r="O13" s="241"/>
      <c r="P13" s="241"/>
      <c r="Q13" s="241"/>
      <c r="R13" s="241">
        <f>SUM(B13:Q13)</f>
        <v>0</v>
      </c>
    </row>
    <row r="14" spans="1:18" ht="14.25">
      <c r="A14" s="133" t="s">
        <v>38</v>
      </c>
      <c r="B14" s="115">
        <f>SUM(B9:B13)</f>
        <v>0</v>
      </c>
      <c r="C14" s="103">
        <v>0</v>
      </c>
      <c r="D14" s="103">
        <v>0</v>
      </c>
      <c r="E14" s="103">
        <v>0</v>
      </c>
      <c r="F14" s="103">
        <v>0</v>
      </c>
      <c r="G14" s="103">
        <v>0</v>
      </c>
      <c r="H14" s="103">
        <v>0</v>
      </c>
      <c r="I14" s="103">
        <v>0</v>
      </c>
      <c r="J14" s="103">
        <v>0</v>
      </c>
      <c r="K14" s="103">
        <v>0</v>
      </c>
      <c r="L14" s="103">
        <v>0</v>
      </c>
      <c r="M14" s="103">
        <v>0</v>
      </c>
      <c r="N14" s="103">
        <v>0</v>
      </c>
      <c r="O14" s="103">
        <v>0</v>
      </c>
      <c r="P14" s="103">
        <v>0</v>
      </c>
      <c r="Q14" s="103"/>
      <c r="R14" s="115">
        <f>SUM(B14:Q14)</f>
        <v>0</v>
      </c>
    </row>
    <row r="15" spans="1:18" ht="15" thickBot="1">
      <c r="A15" s="134" t="s">
        <v>39</v>
      </c>
      <c r="B15" s="116">
        <v>0</v>
      </c>
      <c r="C15" s="103">
        <v>0</v>
      </c>
      <c r="D15" s="103">
        <v>0</v>
      </c>
      <c r="E15" s="103">
        <v>0</v>
      </c>
      <c r="F15" s="103">
        <v>0</v>
      </c>
      <c r="G15" s="103">
        <v>0</v>
      </c>
      <c r="H15" s="103">
        <v>0</v>
      </c>
      <c r="I15" s="103">
        <v>0</v>
      </c>
      <c r="J15" s="103">
        <v>0</v>
      </c>
      <c r="K15" s="103">
        <v>0</v>
      </c>
      <c r="L15" s="103">
        <v>0</v>
      </c>
      <c r="M15" s="103">
        <v>0</v>
      </c>
      <c r="N15" s="103">
        <v>0</v>
      </c>
      <c r="O15" s="103">
        <v>0</v>
      </c>
      <c r="P15" s="103">
        <v>0</v>
      </c>
      <c r="Q15" s="248"/>
      <c r="R15" s="116">
        <f>SUM(B15:P15)</f>
        <v>0</v>
      </c>
    </row>
    <row r="16" spans="1:18" ht="15" thickTop="1">
      <c r="A16" s="135" t="s">
        <v>302</v>
      </c>
      <c r="B16" s="117"/>
      <c r="C16" s="12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8"/>
      <c r="P16" s="117"/>
      <c r="Q16" s="117"/>
      <c r="R16" s="118"/>
    </row>
    <row r="17" spans="1:18" ht="14.25">
      <c r="A17" s="133" t="s">
        <v>303</v>
      </c>
      <c r="B17" s="119"/>
      <c r="C17" s="113">
        <v>0</v>
      </c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3"/>
      <c r="P17" s="119"/>
      <c r="Q17" s="119"/>
      <c r="R17" s="113">
        <f aca="true" t="shared" si="0" ref="R17:R24">SUM(C17:P17)</f>
        <v>0</v>
      </c>
    </row>
    <row r="18" spans="1:18" ht="14.25">
      <c r="A18" s="132" t="s">
        <v>304</v>
      </c>
      <c r="B18" s="120"/>
      <c r="C18" s="120">
        <v>0</v>
      </c>
      <c r="D18" s="120"/>
      <c r="E18" s="120">
        <v>0</v>
      </c>
      <c r="F18" s="120"/>
      <c r="G18" s="120">
        <v>0</v>
      </c>
      <c r="H18" s="120"/>
      <c r="I18" s="120"/>
      <c r="J18" s="120"/>
      <c r="K18" s="120"/>
      <c r="L18" s="120">
        <v>0</v>
      </c>
      <c r="M18" s="120"/>
      <c r="N18" s="120"/>
      <c r="O18" s="110"/>
      <c r="P18" s="120"/>
      <c r="Q18" s="120"/>
      <c r="R18" s="110">
        <f t="shared" si="0"/>
        <v>0</v>
      </c>
    </row>
    <row r="19" spans="1:18" ht="14.25">
      <c r="A19" s="133" t="s">
        <v>305</v>
      </c>
      <c r="B19" s="119"/>
      <c r="C19" s="119">
        <v>0</v>
      </c>
      <c r="D19" s="119"/>
      <c r="E19" s="119">
        <v>0</v>
      </c>
      <c r="F19" s="119"/>
      <c r="G19" s="119">
        <v>0</v>
      </c>
      <c r="H19" s="119"/>
      <c r="I19" s="119"/>
      <c r="J19" s="119"/>
      <c r="K19" s="119"/>
      <c r="L19" s="119">
        <v>0</v>
      </c>
      <c r="M19" s="119"/>
      <c r="N19" s="119"/>
      <c r="O19" s="113"/>
      <c r="P19" s="119"/>
      <c r="Q19" s="119"/>
      <c r="R19" s="113">
        <f t="shared" si="0"/>
        <v>0</v>
      </c>
    </row>
    <row r="20" spans="1:18" ht="14.25">
      <c r="A20" s="133" t="s">
        <v>306</v>
      </c>
      <c r="B20" s="119"/>
      <c r="C20" s="113">
        <v>0</v>
      </c>
      <c r="D20" s="119"/>
      <c r="E20" s="119">
        <v>0</v>
      </c>
      <c r="F20" s="119"/>
      <c r="G20" s="119"/>
      <c r="H20" s="119"/>
      <c r="I20" s="119"/>
      <c r="J20" s="119"/>
      <c r="K20" s="119"/>
      <c r="L20" s="119">
        <v>0</v>
      </c>
      <c r="M20" s="119"/>
      <c r="N20" s="119"/>
      <c r="O20" s="113"/>
      <c r="P20" s="119"/>
      <c r="Q20" s="119"/>
      <c r="R20" s="113">
        <f t="shared" si="0"/>
        <v>0</v>
      </c>
    </row>
    <row r="21" spans="1:18" ht="14.25">
      <c r="A21" s="132" t="s">
        <v>307</v>
      </c>
      <c r="B21" s="120"/>
      <c r="C21" s="120">
        <v>0</v>
      </c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10"/>
      <c r="P21" s="120"/>
      <c r="Q21" s="120"/>
      <c r="R21" s="110">
        <f t="shared" si="0"/>
        <v>0</v>
      </c>
    </row>
    <row r="22" spans="1:18" ht="14.25">
      <c r="A22" s="133" t="s">
        <v>308</v>
      </c>
      <c r="B22" s="119"/>
      <c r="C22" s="113">
        <v>0</v>
      </c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3"/>
      <c r="P22" s="119"/>
      <c r="Q22" s="119"/>
      <c r="R22" s="113">
        <f t="shared" si="0"/>
        <v>0</v>
      </c>
    </row>
    <row r="23" spans="1:18" ht="14.25">
      <c r="A23" s="133" t="s">
        <v>38</v>
      </c>
      <c r="B23" s="103"/>
      <c r="C23" s="122">
        <v>0</v>
      </c>
      <c r="D23" s="103">
        <v>0</v>
      </c>
      <c r="E23" s="103">
        <v>0</v>
      </c>
      <c r="F23" s="103">
        <v>0</v>
      </c>
      <c r="G23" s="103">
        <v>0</v>
      </c>
      <c r="H23" s="103">
        <v>0</v>
      </c>
      <c r="I23" s="103">
        <v>0</v>
      </c>
      <c r="J23" s="103">
        <v>0</v>
      </c>
      <c r="K23" s="103">
        <v>0</v>
      </c>
      <c r="L23" s="103">
        <v>0</v>
      </c>
      <c r="M23" s="103">
        <v>0</v>
      </c>
      <c r="N23" s="103">
        <v>0</v>
      </c>
      <c r="O23" s="103">
        <v>0</v>
      </c>
      <c r="P23" s="103">
        <v>0</v>
      </c>
      <c r="Q23" s="103"/>
      <c r="R23" s="115">
        <f t="shared" si="0"/>
        <v>0</v>
      </c>
    </row>
    <row r="24" spans="1:18" ht="15" thickBot="1">
      <c r="A24" s="134" t="s">
        <v>39</v>
      </c>
      <c r="B24" s="136"/>
      <c r="C24" s="123">
        <v>0</v>
      </c>
      <c r="D24" s="136">
        <v>0</v>
      </c>
      <c r="E24" s="136">
        <v>0</v>
      </c>
      <c r="F24" s="136">
        <v>0</v>
      </c>
      <c r="G24" s="136">
        <v>0</v>
      </c>
      <c r="H24" s="136">
        <v>0</v>
      </c>
      <c r="I24" s="136">
        <v>0</v>
      </c>
      <c r="J24" s="136">
        <v>0</v>
      </c>
      <c r="K24" s="136">
        <v>0</v>
      </c>
      <c r="L24" s="136">
        <v>0</v>
      </c>
      <c r="M24" s="136">
        <v>0</v>
      </c>
      <c r="N24" s="136">
        <v>0</v>
      </c>
      <c r="O24" s="136">
        <v>0</v>
      </c>
      <c r="P24" s="136">
        <v>0</v>
      </c>
      <c r="Q24" s="136"/>
      <c r="R24" s="116">
        <f t="shared" si="0"/>
        <v>0</v>
      </c>
    </row>
    <row r="25" spans="1:18" ht="15" thickTop="1">
      <c r="A25" s="132" t="s">
        <v>309</v>
      </c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6"/>
      <c r="P25" s="120"/>
      <c r="Q25" s="120"/>
      <c r="R25" s="110"/>
    </row>
    <row r="26" spans="1:18" ht="14.25">
      <c r="A26" s="133" t="s">
        <v>310</v>
      </c>
      <c r="B26" s="119"/>
      <c r="C26" s="119">
        <v>-70000</v>
      </c>
      <c r="D26" s="119"/>
      <c r="E26" s="119">
        <v>0</v>
      </c>
      <c r="F26" s="119"/>
      <c r="G26" s="119">
        <v>0</v>
      </c>
      <c r="H26" s="119"/>
      <c r="I26" s="119"/>
      <c r="J26" s="119"/>
      <c r="K26" s="119"/>
      <c r="L26" s="119">
        <v>0</v>
      </c>
      <c r="M26" s="119"/>
      <c r="N26" s="119"/>
      <c r="O26" s="113"/>
      <c r="P26" s="119"/>
      <c r="Q26" s="119"/>
      <c r="R26" s="113">
        <f>SUM(C26:P26)</f>
        <v>-70000</v>
      </c>
    </row>
    <row r="27" spans="1:18" ht="14.25">
      <c r="A27" s="133" t="s">
        <v>311</v>
      </c>
      <c r="B27" s="119"/>
      <c r="C27" s="119">
        <v>0</v>
      </c>
      <c r="D27" s="119"/>
      <c r="E27" s="119">
        <v>0</v>
      </c>
      <c r="F27" s="119"/>
      <c r="G27" s="119">
        <v>0</v>
      </c>
      <c r="H27" s="119"/>
      <c r="I27" s="119"/>
      <c r="J27" s="119"/>
      <c r="K27" s="119"/>
      <c r="L27" s="119">
        <v>0</v>
      </c>
      <c r="M27" s="119"/>
      <c r="N27" s="119"/>
      <c r="O27" s="113"/>
      <c r="P27" s="119"/>
      <c r="Q27" s="119"/>
      <c r="R27" s="113">
        <f>SUM(C27:P27)</f>
        <v>0</v>
      </c>
    </row>
    <row r="28" spans="1:18" ht="14.25">
      <c r="A28" s="132" t="s">
        <v>312</v>
      </c>
      <c r="B28" s="120"/>
      <c r="C28" s="120">
        <v>0</v>
      </c>
      <c r="D28" s="120"/>
      <c r="E28" s="120">
        <v>0</v>
      </c>
      <c r="F28" s="120"/>
      <c r="G28" s="120"/>
      <c r="H28" s="120"/>
      <c r="I28" s="120"/>
      <c r="J28" s="120"/>
      <c r="K28" s="120"/>
      <c r="L28" s="120">
        <v>0</v>
      </c>
      <c r="M28" s="120"/>
      <c r="N28" s="120"/>
      <c r="O28" s="110"/>
      <c r="P28" s="120"/>
      <c r="Q28" s="120"/>
      <c r="R28" s="110">
        <f>SUM(C28:P28)</f>
        <v>0</v>
      </c>
    </row>
    <row r="29" spans="1:18" ht="14.25">
      <c r="A29" s="133" t="s">
        <v>38</v>
      </c>
      <c r="B29" s="103"/>
      <c r="C29" s="122">
        <f>SUM(C26:C28)</f>
        <v>-70000</v>
      </c>
      <c r="D29" s="103">
        <v>0</v>
      </c>
      <c r="E29" s="103">
        <v>0</v>
      </c>
      <c r="F29" s="103">
        <v>0</v>
      </c>
      <c r="G29" s="103">
        <f>SUM(G27)</f>
        <v>0</v>
      </c>
      <c r="H29" s="103">
        <v>0</v>
      </c>
      <c r="I29" s="103">
        <v>0</v>
      </c>
      <c r="J29" s="103">
        <v>0</v>
      </c>
      <c r="K29" s="103">
        <v>0</v>
      </c>
      <c r="L29" s="103">
        <v>0</v>
      </c>
      <c r="M29" s="103">
        <v>0</v>
      </c>
      <c r="N29" s="103">
        <v>0</v>
      </c>
      <c r="O29" s="103">
        <v>0</v>
      </c>
      <c r="P29" s="103">
        <v>0</v>
      </c>
      <c r="Q29" s="103"/>
      <c r="R29" s="103">
        <f>SUM(C29:P29)</f>
        <v>-70000</v>
      </c>
    </row>
    <row r="30" spans="1:18" ht="15" thickBot="1">
      <c r="A30" s="134" t="s">
        <v>39</v>
      </c>
      <c r="B30" s="136"/>
      <c r="C30" s="123">
        <f>C29</f>
        <v>-70000</v>
      </c>
      <c r="D30" s="136">
        <v>0</v>
      </c>
      <c r="E30" s="136">
        <v>0</v>
      </c>
      <c r="F30" s="136">
        <v>0</v>
      </c>
      <c r="G30" s="136">
        <v>-35000</v>
      </c>
      <c r="H30" s="136">
        <v>0</v>
      </c>
      <c r="I30" s="136">
        <v>0</v>
      </c>
      <c r="J30" s="136">
        <v>0</v>
      </c>
      <c r="K30" s="136">
        <v>0</v>
      </c>
      <c r="L30" s="136">
        <v>0</v>
      </c>
      <c r="M30" s="136">
        <v>0</v>
      </c>
      <c r="N30" s="136">
        <v>0</v>
      </c>
      <c r="O30" s="136">
        <v>0</v>
      </c>
      <c r="P30" s="136">
        <v>0</v>
      </c>
      <c r="Q30" s="136"/>
      <c r="R30" s="136">
        <f>SUM(C30:P30)</f>
        <v>-105000</v>
      </c>
    </row>
    <row r="31" spans="1:18" ht="15" thickTop="1">
      <c r="A31" s="132" t="s">
        <v>309</v>
      </c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10"/>
      <c r="P31" s="120"/>
      <c r="Q31" s="120"/>
      <c r="R31" s="127"/>
    </row>
    <row r="32" spans="1:18" ht="14.25">
      <c r="A32" s="133" t="s">
        <v>313</v>
      </c>
      <c r="B32" s="119"/>
      <c r="C32" s="119">
        <v>0</v>
      </c>
      <c r="D32" s="119"/>
      <c r="E32" s="119">
        <v>0</v>
      </c>
      <c r="F32" s="119"/>
      <c r="G32" s="119">
        <v>0</v>
      </c>
      <c r="H32" s="119"/>
      <c r="I32" s="119">
        <v>0</v>
      </c>
      <c r="J32" s="119"/>
      <c r="K32" s="119"/>
      <c r="L32" s="119">
        <v>0</v>
      </c>
      <c r="M32" s="119"/>
      <c r="N32" s="119"/>
      <c r="O32" s="113"/>
      <c r="P32" s="119"/>
      <c r="Q32" s="119"/>
      <c r="R32" s="113">
        <f>SUM(C32:P32)</f>
        <v>0</v>
      </c>
    </row>
    <row r="33" spans="1:18" ht="14.25">
      <c r="A33" s="132" t="s">
        <v>314</v>
      </c>
      <c r="B33" s="121"/>
      <c r="C33" s="120">
        <v>0</v>
      </c>
      <c r="D33" s="120"/>
      <c r="E33" s="120">
        <v>0</v>
      </c>
      <c r="F33" s="120"/>
      <c r="G33" s="120">
        <v>0</v>
      </c>
      <c r="H33" s="120"/>
      <c r="I33" s="120">
        <v>0</v>
      </c>
      <c r="J33" s="120"/>
      <c r="K33" s="120"/>
      <c r="L33" s="120">
        <v>0</v>
      </c>
      <c r="M33" s="120"/>
      <c r="N33" s="120"/>
      <c r="O33" s="110"/>
      <c r="P33" s="120"/>
      <c r="Q33" s="120"/>
      <c r="R33" s="110">
        <f>SUM(C33:P33)</f>
        <v>0</v>
      </c>
    </row>
    <row r="34" spans="1:18" ht="14.25">
      <c r="A34" s="133" t="s">
        <v>38</v>
      </c>
      <c r="B34" s="103"/>
      <c r="C34" s="122">
        <v>0</v>
      </c>
      <c r="D34" s="103">
        <v>0</v>
      </c>
      <c r="E34" s="103">
        <v>0</v>
      </c>
      <c r="F34" s="103">
        <v>0</v>
      </c>
      <c r="G34" s="103">
        <v>0</v>
      </c>
      <c r="H34" s="103">
        <v>0</v>
      </c>
      <c r="I34" s="103">
        <v>0</v>
      </c>
      <c r="J34" s="103">
        <v>0</v>
      </c>
      <c r="K34" s="103">
        <v>0</v>
      </c>
      <c r="L34" s="103">
        <v>0</v>
      </c>
      <c r="M34" s="103">
        <v>0</v>
      </c>
      <c r="N34" s="103">
        <v>0</v>
      </c>
      <c r="O34" s="103">
        <v>0</v>
      </c>
      <c r="P34" s="103">
        <v>0</v>
      </c>
      <c r="Q34" s="103"/>
      <c r="R34" s="115">
        <f>SUM(C34:P34)</f>
        <v>0</v>
      </c>
    </row>
    <row r="35" spans="1:18" ht="15" thickBot="1">
      <c r="A35" s="134" t="s">
        <v>39</v>
      </c>
      <c r="B35" s="136"/>
      <c r="C35" s="116">
        <v>0</v>
      </c>
      <c r="D35" s="136">
        <v>0</v>
      </c>
      <c r="E35" s="136">
        <v>0</v>
      </c>
      <c r="F35" s="136">
        <v>0</v>
      </c>
      <c r="G35" s="136">
        <v>0</v>
      </c>
      <c r="H35" s="136">
        <v>0</v>
      </c>
      <c r="I35" s="136">
        <v>0</v>
      </c>
      <c r="J35" s="136">
        <v>0</v>
      </c>
      <c r="K35" s="136">
        <v>0</v>
      </c>
      <c r="L35" s="136">
        <v>0</v>
      </c>
      <c r="M35" s="136">
        <v>0</v>
      </c>
      <c r="N35" s="136">
        <v>0</v>
      </c>
      <c r="O35" s="136">
        <v>0</v>
      </c>
      <c r="P35" s="136">
        <v>0</v>
      </c>
      <c r="Q35" s="136"/>
      <c r="R35" s="116">
        <f>SUM(C35:P35)</f>
        <v>0</v>
      </c>
    </row>
    <row r="36" ht="15" thickTop="1">
      <c r="C36" s="240"/>
    </row>
    <row r="42" spans="1:18" s="107" customFormat="1" ht="14.25">
      <c r="A42" s="108" t="s">
        <v>125</v>
      </c>
      <c r="B42" s="323" t="s">
        <v>101</v>
      </c>
      <c r="C42" s="324" t="s">
        <v>102</v>
      </c>
      <c r="D42" s="324"/>
      <c r="E42" s="324"/>
      <c r="F42" s="130" t="s">
        <v>103</v>
      </c>
      <c r="G42" s="324" t="s">
        <v>104</v>
      </c>
      <c r="H42" s="324"/>
      <c r="I42" s="324" t="s">
        <v>105</v>
      </c>
      <c r="J42" s="324"/>
      <c r="K42" s="130" t="s">
        <v>106</v>
      </c>
      <c r="L42" s="324" t="s">
        <v>107</v>
      </c>
      <c r="M42" s="324"/>
      <c r="N42" s="324" t="s">
        <v>108</v>
      </c>
      <c r="O42" s="324"/>
      <c r="P42" s="327" t="s">
        <v>123</v>
      </c>
      <c r="Q42" s="328"/>
      <c r="R42" s="329" t="s">
        <v>20</v>
      </c>
    </row>
    <row r="43" spans="1:18" s="107" customFormat="1" ht="14.25">
      <c r="A43" s="109" t="s">
        <v>126</v>
      </c>
      <c r="B43" s="323"/>
      <c r="C43" s="130" t="s">
        <v>109</v>
      </c>
      <c r="D43" s="130" t="s">
        <v>121</v>
      </c>
      <c r="E43" s="130" t="s">
        <v>110</v>
      </c>
      <c r="F43" s="130" t="s">
        <v>111</v>
      </c>
      <c r="G43" s="130" t="s">
        <v>112</v>
      </c>
      <c r="H43" s="130" t="s">
        <v>113</v>
      </c>
      <c r="I43" s="130" t="s">
        <v>114</v>
      </c>
      <c r="J43" s="130" t="s">
        <v>115</v>
      </c>
      <c r="K43" s="130" t="s">
        <v>122</v>
      </c>
      <c r="L43" s="130" t="s">
        <v>116</v>
      </c>
      <c r="M43" s="130" t="s">
        <v>117</v>
      </c>
      <c r="N43" s="130" t="s">
        <v>118</v>
      </c>
      <c r="O43" s="130" t="s">
        <v>119</v>
      </c>
      <c r="P43" s="130" t="s">
        <v>367</v>
      </c>
      <c r="Q43" s="250" t="s">
        <v>124</v>
      </c>
      <c r="R43" s="330"/>
    </row>
    <row r="44" spans="1:18" ht="14.25">
      <c r="A44" s="135" t="s">
        <v>309</v>
      </c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</row>
    <row r="45" spans="1:18" ht="14.25">
      <c r="A45" s="133" t="s">
        <v>316</v>
      </c>
      <c r="B45" s="113"/>
      <c r="C45" s="113">
        <v>0</v>
      </c>
      <c r="D45" s="113"/>
      <c r="E45" s="113">
        <v>0</v>
      </c>
      <c r="F45" s="113"/>
      <c r="G45" s="113">
        <v>0</v>
      </c>
      <c r="H45" s="113"/>
      <c r="I45" s="113">
        <v>0</v>
      </c>
      <c r="J45" s="113"/>
      <c r="K45" s="113"/>
      <c r="L45" s="113">
        <v>0</v>
      </c>
      <c r="M45" s="113"/>
      <c r="N45" s="113"/>
      <c r="O45" s="113"/>
      <c r="P45" s="113"/>
      <c r="Q45" s="113"/>
      <c r="R45" s="113">
        <f>SUM(C45:P45)</f>
        <v>0</v>
      </c>
    </row>
    <row r="46" spans="1:18" ht="14.25">
      <c r="A46" s="137" t="s">
        <v>317</v>
      </c>
      <c r="B46" s="110"/>
      <c r="C46" s="110">
        <v>0</v>
      </c>
      <c r="D46" s="110"/>
      <c r="E46" s="110">
        <v>0</v>
      </c>
      <c r="F46" s="110"/>
      <c r="G46" s="110">
        <v>0</v>
      </c>
      <c r="H46" s="110"/>
      <c r="I46" s="110">
        <v>0</v>
      </c>
      <c r="J46" s="110"/>
      <c r="K46" s="110"/>
      <c r="L46" s="110">
        <v>0</v>
      </c>
      <c r="M46" s="110"/>
      <c r="N46" s="110"/>
      <c r="O46" s="110"/>
      <c r="P46" s="110"/>
      <c r="Q46" s="110"/>
      <c r="R46" s="110">
        <f>SUM(C46:P46)</f>
        <v>0</v>
      </c>
    </row>
    <row r="47" spans="1:18" ht="14.25">
      <c r="A47" s="133" t="s">
        <v>38</v>
      </c>
      <c r="B47" s="103"/>
      <c r="C47" s="115">
        <v>0</v>
      </c>
      <c r="D47" s="103">
        <v>0</v>
      </c>
      <c r="E47" s="103">
        <v>0</v>
      </c>
      <c r="F47" s="103">
        <v>0</v>
      </c>
      <c r="G47" s="103">
        <v>0</v>
      </c>
      <c r="H47" s="103">
        <v>0</v>
      </c>
      <c r="I47" s="103">
        <v>0</v>
      </c>
      <c r="J47" s="103">
        <v>0</v>
      </c>
      <c r="K47" s="103">
        <v>0</v>
      </c>
      <c r="L47" s="103">
        <v>0</v>
      </c>
      <c r="M47" s="103">
        <v>0</v>
      </c>
      <c r="N47" s="103">
        <v>0</v>
      </c>
      <c r="O47" s="103">
        <v>0</v>
      </c>
      <c r="P47" s="103">
        <v>0</v>
      </c>
      <c r="Q47" s="103"/>
      <c r="R47" s="103">
        <f>SUM(C47:P47)</f>
        <v>0</v>
      </c>
    </row>
    <row r="48" spans="1:18" ht="15" thickBot="1">
      <c r="A48" s="134" t="s">
        <v>39</v>
      </c>
      <c r="B48" s="136"/>
      <c r="C48" s="116">
        <v>0</v>
      </c>
      <c r="D48" s="103">
        <v>0</v>
      </c>
      <c r="E48" s="103">
        <v>0</v>
      </c>
      <c r="F48" s="103">
        <v>0</v>
      </c>
      <c r="G48" s="103">
        <v>0</v>
      </c>
      <c r="H48" s="103">
        <v>0</v>
      </c>
      <c r="I48" s="103">
        <v>0</v>
      </c>
      <c r="J48" s="103">
        <v>0</v>
      </c>
      <c r="K48" s="103">
        <v>0</v>
      </c>
      <c r="L48" s="103">
        <v>0</v>
      </c>
      <c r="M48" s="103">
        <v>0</v>
      </c>
      <c r="N48" s="103">
        <v>0</v>
      </c>
      <c r="O48" s="103">
        <v>0</v>
      </c>
      <c r="P48" s="103">
        <v>0</v>
      </c>
      <c r="Q48" s="103"/>
      <c r="R48" s="103">
        <f>SUM(C48:P48)</f>
        <v>0</v>
      </c>
    </row>
    <row r="49" spans="1:18" ht="15" thickTop="1">
      <c r="A49" s="135" t="s">
        <v>318</v>
      </c>
      <c r="B49" s="117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8"/>
      <c r="P49" s="117"/>
      <c r="Q49" s="117"/>
      <c r="R49" s="118"/>
    </row>
    <row r="50" spans="1:18" ht="14.25">
      <c r="A50" s="133" t="s">
        <v>319</v>
      </c>
      <c r="B50" s="119"/>
      <c r="C50" s="119">
        <v>0</v>
      </c>
      <c r="D50" s="119"/>
      <c r="E50" s="119"/>
      <c r="F50" s="119"/>
      <c r="G50" s="119"/>
      <c r="H50" s="119"/>
      <c r="I50" s="119"/>
      <c r="J50" s="119"/>
      <c r="K50" s="119"/>
      <c r="L50" s="119"/>
      <c r="M50" s="119">
        <v>0</v>
      </c>
      <c r="N50" s="119"/>
      <c r="O50" s="113"/>
      <c r="P50" s="119"/>
      <c r="Q50" s="119"/>
      <c r="R50" s="113">
        <f aca="true" t="shared" si="1" ref="R50:R56">SUM(C50:P50)</f>
        <v>0</v>
      </c>
    </row>
    <row r="51" spans="1:18" ht="14.25">
      <c r="A51" s="132" t="s">
        <v>320</v>
      </c>
      <c r="B51" s="120"/>
      <c r="C51" s="120">
        <v>0</v>
      </c>
      <c r="D51" s="120"/>
      <c r="E51" s="120">
        <v>0</v>
      </c>
      <c r="F51" s="120"/>
      <c r="G51" s="120"/>
      <c r="H51" s="120"/>
      <c r="I51" s="120"/>
      <c r="J51" s="120"/>
      <c r="K51" s="120"/>
      <c r="L51" s="120"/>
      <c r="M51" s="120"/>
      <c r="N51" s="120"/>
      <c r="O51" s="110"/>
      <c r="P51" s="120"/>
      <c r="Q51" s="120"/>
      <c r="R51" s="110">
        <f t="shared" si="1"/>
        <v>0</v>
      </c>
    </row>
    <row r="52" spans="1:18" ht="14.25">
      <c r="A52" s="133" t="s">
        <v>321</v>
      </c>
      <c r="B52" s="119"/>
      <c r="C52" s="119">
        <v>0</v>
      </c>
      <c r="D52" s="119"/>
      <c r="E52" s="119">
        <v>0</v>
      </c>
      <c r="F52" s="119"/>
      <c r="G52" s="119">
        <v>0</v>
      </c>
      <c r="H52" s="119"/>
      <c r="I52" s="119"/>
      <c r="J52" s="119"/>
      <c r="K52" s="119"/>
      <c r="L52" s="119">
        <v>0</v>
      </c>
      <c r="M52" s="119"/>
      <c r="N52" s="119"/>
      <c r="O52" s="113"/>
      <c r="P52" s="119"/>
      <c r="Q52" s="119"/>
      <c r="R52" s="113">
        <f t="shared" si="1"/>
        <v>0</v>
      </c>
    </row>
    <row r="53" spans="1:18" ht="14.25">
      <c r="A53" s="133" t="s">
        <v>322</v>
      </c>
      <c r="B53" s="119"/>
      <c r="C53" s="119">
        <v>0</v>
      </c>
      <c r="D53" s="119"/>
      <c r="E53" s="119"/>
      <c r="F53" s="119">
        <v>0</v>
      </c>
      <c r="G53" s="119">
        <v>0</v>
      </c>
      <c r="H53" s="119"/>
      <c r="I53" s="119"/>
      <c r="J53" s="119"/>
      <c r="K53" s="119"/>
      <c r="L53" s="119"/>
      <c r="M53" s="119"/>
      <c r="N53" s="243"/>
      <c r="O53" s="113"/>
      <c r="P53" s="119"/>
      <c r="Q53" s="119"/>
      <c r="R53" s="113">
        <f t="shared" si="1"/>
        <v>0</v>
      </c>
    </row>
    <row r="54" spans="1:18" ht="14.25">
      <c r="A54" s="169" t="s">
        <v>323</v>
      </c>
      <c r="B54" s="121"/>
      <c r="C54" s="121">
        <v>0</v>
      </c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244"/>
      <c r="O54" s="114"/>
      <c r="P54" s="121"/>
      <c r="Q54" s="121"/>
      <c r="R54" s="129">
        <f>SUM(C54:Q54)</f>
        <v>0</v>
      </c>
    </row>
    <row r="55" spans="1:18" ht="14.25">
      <c r="A55" s="133" t="s">
        <v>38</v>
      </c>
      <c r="B55" s="103"/>
      <c r="C55" s="122">
        <f>SUM(C50:C54)</f>
        <v>0</v>
      </c>
      <c r="D55" s="103">
        <v>0</v>
      </c>
      <c r="E55" s="103">
        <v>0</v>
      </c>
      <c r="F55" s="103">
        <v>0</v>
      </c>
      <c r="G55" s="103">
        <v>0</v>
      </c>
      <c r="H55" s="103">
        <v>0</v>
      </c>
      <c r="I55" s="103">
        <v>0</v>
      </c>
      <c r="J55" s="103">
        <v>0</v>
      </c>
      <c r="K55" s="103">
        <v>0</v>
      </c>
      <c r="L55" s="103">
        <v>0</v>
      </c>
      <c r="M55" s="103">
        <f>SUM(M50:M53)</f>
        <v>0</v>
      </c>
      <c r="N55" s="103">
        <v>0</v>
      </c>
      <c r="O55" s="103">
        <v>0</v>
      </c>
      <c r="P55" s="103">
        <v>0</v>
      </c>
      <c r="Q55" s="103"/>
      <c r="R55" s="115">
        <f t="shared" si="1"/>
        <v>0</v>
      </c>
    </row>
    <row r="56" spans="1:18" ht="15" thickBot="1">
      <c r="A56" s="134" t="s">
        <v>39</v>
      </c>
      <c r="B56" s="136"/>
      <c r="C56" s="123">
        <v>35000</v>
      </c>
      <c r="D56" s="136">
        <v>0</v>
      </c>
      <c r="E56" s="136">
        <v>0</v>
      </c>
      <c r="F56" s="136">
        <v>0</v>
      </c>
      <c r="G56" s="136">
        <v>0</v>
      </c>
      <c r="H56" s="136">
        <v>0</v>
      </c>
      <c r="I56" s="136">
        <v>0</v>
      </c>
      <c r="J56" s="136">
        <v>0</v>
      </c>
      <c r="K56" s="136">
        <v>0</v>
      </c>
      <c r="L56" s="136">
        <v>0</v>
      </c>
      <c r="M56" s="136">
        <v>0</v>
      </c>
      <c r="N56" s="136">
        <v>0</v>
      </c>
      <c r="O56" s="103">
        <v>0</v>
      </c>
      <c r="P56" s="136">
        <v>0</v>
      </c>
      <c r="Q56" s="136"/>
      <c r="R56" s="116">
        <f t="shared" si="1"/>
        <v>35000</v>
      </c>
    </row>
    <row r="57" spans="1:18" ht="15" thickTop="1">
      <c r="A57" s="137" t="s">
        <v>324</v>
      </c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6"/>
      <c r="O57" s="127"/>
      <c r="P57" s="126"/>
      <c r="Q57" s="126"/>
      <c r="R57" s="127"/>
    </row>
    <row r="58" spans="1:18" ht="14.25">
      <c r="A58" s="137" t="s">
        <v>325</v>
      </c>
      <c r="B58" s="125"/>
      <c r="C58" s="125">
        <v>0</v>
      </c>
      <c r="D58" s="125"/>
      <c r="E58" s="125">
        <v>0</v>
      </c>
      <c r="F58" s="125"/>
      <c r="G58" s="125"/>
      <c r="H58" s="125"/>
      <c r="I58" s="125"/>
      <c r="J58" s="125"/>
      <c r="K58" s="125"/>
      <c r="L58" s="125">
        <v>0</v>
      </c>
      <c r="M58" s="125"/>
      <c r="N58" s="125"/>
      <c r="O58" s="126"/>
      <c r="P58" s="125"/>
      <c r="Q58" s="125"/>
      <c r="R58" s="126">
        <f>SUM(C58:P58)</f>
        <v>0</v>
      </c>
    </row>
    <row r="59" spans="1:18" ht="14.25">
      <c r="A59" s="133" t="s">
        <v>326</v>
      </c>
      <c r="B59" s="119"/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3"/>
      <c r="P59" s="119"/>
      <c r="Q59" s="119"/>
      <c r="R59" s="113"/>
    </row>
    <row r="60" spans="1:18" ht="14.25">
      <c r="A60" s="137" t="s">
        <v>327</v>
      </c>
      <c r="B60" s="119"/>
      <c r="C60" s="119">
        <v>70000</v>
      </c>
      <c r="D60" s="119"/>
      <c r="E60" s="119">
        <v>0</v>
      </c>
      <c r="F60" s="119"/>
      <c r="G60" s="119"/>
      <c r="H60" s="119">
        <v>0</v>
      </c>
      <c r="I60" s="119"/>
      <c r="J60" s="119"/>
      <c r="K60" s="119"/>
      <c r="L60" s="119"/>
      <c r="M60" s="119"/>
      <c r="N60" s="119"/>
      <c r="O60" s="113">
        <v>0</v>
      </c>
      <c r="P60" s="119"/>
      <c r="Q60" s="119"/>
      <c r="R60" s="113">
        <f>SUM(C60:P60)</f>
        <v>70000</v>
      </c>
    </row>
    <row r="61" spans="1:18" ht="14.25">
      <c r="A61" s="137" t="s">
        <v>328</v>
      </c>
      <c r="B61" s="119"/>
      <c r="C61" s="119">
        <v>0</v>
      </c>
      <c r="D61" s="119"/>
      <c r="E61" s="119">
        <v>0</v>
      </c>
      <c r="F61" s="119"/>
      <c r="G61" s="119"/>
      <c r="H61" s="119"/>
      <c r="I61" s="119"/>
      <c r="J61" s="119"/>
      <c r="K61" s="119"/>
      <c r="L61" s="119"/>
      <c r="M61" s="119"/>
      <c r="N61" s="119"/>
      <c r="O61" s="113"/>
      <c r="P61" s="119"/>
      <c r="Q61" s="119"/>
      <c r="R61" s="113">
        <f>SUM(C61:Q61)</f>
        <v>0</v>
      </c>
    </row>
    <row r="62" spans="1:18" ht="14.25">
      <c r="A62" s="133" t="s">
        <v>38</v>
      </c>
      <c r="B62" s="103"/>
      <c r="C62" s="122">
        <f>SUM(C60:C61)</f>
        <v>70000</v>
      </c>
      <c r="D62" s="103">
        <v>0</v>
      </c>
      <c r="E62" s="103">
        <v>0</v>
      </c>
      <c r="F62" s="103">
        <v>0</v>
      </c>
      <c r="G62" s="103">
        <v>0</v>
      </c>
      <c r="H62" s="103">
        <f>SUM(H58:H61)</f>
        <v>0</v>
      </c>
      <c r="I62" s="103">
        <v>0</v>
      </c>
      <c r="J62" s="103">
        <v>0</v>
      </c>
      <c r="K62" s="103">
        <v>0</v>
      </c>
      <c r="L62" s="103">
        <v>0</v>
      </c>
      <c r="M62" s="103">
        <v>0</v>
      </c>
      <c r="N62" s="103">
        <v>0</v>
      </c>
      <c r="O62" s="103">
        <v>0</v>
      </c>
      <c r="P62" s="103">
        <v>0</v>
      </c>
      <c r="Q62" s="103"/>
      <c r="R62" s="115">
        <f>SUM(C62:P62)</f>
        <v>70000</v>
      </c>
    </row>
    <row r="63" spans="1:18" ht="15" thickBot="1">
      <c r="A63" s="134" t="s">
        <v>39</v>
      </c>
      <c r="B63" s="136"/>
      <c r="C63" s="123">
        <f>SUM(C62)</f>
        <v>70000</v>
      </c>
      <c r="D63" s="136">
        <v>0</v>
      </c>
      <c r="E63" s="136">
        <v>0</v>
      </c>
      <c r="F63" s="136">
        <v>0</v>
      </c>
      <c r="G63" s="136">
        <v>0</v>
      </c>
      <c r="H63" s="136">
        <v>0</v>
      </c>
      <c r="I63" s="136">
        <v>0</v>
      </c>
      <c r="J63" s="136">
        <v>0</v>
      </c>
      <c r="K63" s="136">
        <v>0</v>
      </c>
      <c r="L63" s="136">
        <v>0</v>
      </c>
      <c r="M63" s="136">
        <v>0</v>
      </c>
      <c r="N63" s="136">
        <v>0</v>
      </c>
      <c r="O63" s="136">
        <v>0</v>
      </c>
      <c r="P63" s="136">
        <v>0</v>
      </c>
      <c r="Q63" s="136"/>
      <c r="R63" s="116">
        <f>SUM(C63:P63)</f>
        <v>70000</v>
      </c>
    </row>
    <row r="64" spans="1:18" ht="15" thickTop="1">
      <c r="A64" s="137" t="s">
        <v>329</v>
      </c>
      <c r="B64" s="125"/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126"/>
      <c r="O64" s="127"/>
      <c r="P64" s="126"/>
      <c r="Q64" s="126"/>
      <c r="R64" s="127"/>
    </row>
    <row r="65" spans="1:18" ht="14.25">
      <c r="A65" s="137" t="s">
        <v>330</v>
      </c>
      <c r="B65" s="125"/>
      <c r="C65" s="125"/>
      <c r="D65" s="125"/>
      <c r="E65" s="125">
        <v>0</v>
      </c>
      <c r="F65" s="125"/>
      <c r="G65" s="125"/>
      <c r="H65" s="125"/>
      <c r="I65" s="125"/>
      <c r="J65" s="125"/>
      <c r="K65" s="125"/>
      <c r="L65" s="125"/>
      <c r="M65" s="125"/>
      <c r="N65" s="125"/>
      <c r="O65" s="126"/>
      <c r="P65" s="125"/>
      <c r="Q65" s="125"/>
      <c r="R65" s="126">
        <f>SUM(C65:P65)</f>
        <v>0</v>
      </c>
    </row>
    <row r="66" spans="1:18" ht="14.25">
      <c r="A66" s="133" t="s">
        <v>331</v>
      </c>
      <c r="B66" s="119"/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3"/>
      <c r="P66" s="119"/>
      <c r="Q66" s="119"/>
      <c r="R66" s="113"/>
    </row>
    <row r="67" spans="1:18" ht="14.25">
      <c r="A67" s="137" t="s">
        <v>332</v>
      </c>
      <c r="B67" s="119"/>
      <c r="C67" s="119"/>
      <c r="D67" s="119"/>
      <c r="E67" s="119">
        <v>0</v>
      </c>
      <c r="F67" s="119"/>
      <c r="G67" s="119"/>
      <c r="H67" s="119">
        <v>0</v>
      </c>
      <c r="I67" s="119"/>
      <c r="J67" s="119"/>
      <c r="K67" s="119"/>
      <c r="L67" s="119"/>
      <c r="M67" s="119"/>
      <c r="N67" s="119"/>
      <c r="O67" s="113"/>
      <c r="P67" s="119"/>
      <c r="Q67" s="119"/>
      <c r="R67" s="113">
        <f>SUM(C67:P67)</f>
        <v>0</v>
      </c>
    </row>
    <row r="68" spans="1:18" ht="14.25">
      <c r="A68" s="137" t="s">
        <v>333</v>
      </c>
      <c r="B68" s="119"/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3"/>
      <c r="P68" s="119"/>
      <c r="Q68" s="119"/>
      <c r="R68" s="113"/>
    </row>
    <row r="69" spans="1:18" ht="14.25">
      <c r="A69" s="137" t="s">
        <v>334</v>
      </c>
      <c r="B69" s="119"/>
      <c r="C69" s="119"/>
      <c r="D69" s="119"/>
      <c r="E69" s="119"/>
      <c r="F69" s="119"/>
      <c r="G69" s="119"/>
      <c r="H69" s="119"/>
      <c r="I69" s="119"/>
      <c r="J69" s="119"/>
      <c r="K69" s="119"/>
      <c r="L69" s="119"/>
      <c r="M69" s="119"/>
      <c r="N69" s="119"/>
      <c r="O69" s="113"/>
      <c r="P69" s="119"/>
      <c r="Q69" s="119"/>
      <c r="R69" s="113"/>
    </row>
    <row r="70" spans="1:18" ht="14.25">
      <c r="A70" s="137" t="s">
        <v>335</v>
      </c>
      <c r="B70" s="119"/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3"/>
      <c r="P70" s="119"/>
      <c r="Q70" s="119"/>
      <c r="R70" s="113"/>
    </row>
    <row r="71" spans="1:18" ht="14.25">
      <c r="A71" s="137" t="s">
        <v>336</v>
      </c>
      <c r="B71" s="119"/>
      <c r="C71" s="119"/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3"/>
      <c r="P71" s="119"/>
      <c r="Q71" s="119"/>
      <c r="R71" s="113"/>
    </row>
    <row r="72" spans="1:18" ht="14.25">
      <c r="A72" s="137" t="s">
        <v>337</v>
      </c>
      <c r="B72" s="119"/>
      <c r="C72" s="119">
        <v>0</v>
      </c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13"/>
      <c r="P72" s="119"/>
      <c r="Q72" s="119"/>
      <c r="R72" s="113">
        <f>SUM(C72:Q72)</f>
        <v>0</v>
      </c>
    </row>
    <row r="73" spans="1:18" ht="14.25">
      <c r="A73" s="137" t="s">
        <v>338</v>
      </c>
      <c r="B73" s="119"/>
      <c r="C73" s="119"/>
      <c r="D73" s="119"/>
      <c r="E73" s="119"/>
      <c r="F73" s="119"/>
      <c r="G73" s="119"/>
      <c r="H73" s="119"/>
      <c r="I73" s="119"/>
      <c r="J73" s="119"/>
      <c r="K73" s="119"/>
      <c r="L73" s="119"/>
      <c r="M73" s="119"/>
      <c r="N73" s="119"/>
      <c r="O73" s="113"/>
      <c r="P73" s="119"/>
      <c r="Q73" s="119"/>
      <c r="R73" s="113">
        <v>0</v>
      </c>
    </row>
    <row r="74" spans="1:18" ht="14.25">
      <c r="A74" s="137" t="s">
        <v>339</v>
      </c>
      <c r="B74" s="119"/>
      <c r="C74" s="119">
        <v>0</v>
      </c>
      <c r="D74" s="119"/>
      <c r="E74" s="119">
        <v>0</v>
      </c>
      <c r="F74" s="119"/>
      <c r="G74" s="119"/>
      <c r="H74" s="119"/>
      <c r="I74" s="119"/>
      <c r="J74" s="119"/>
      <c r="K74" s="119"/>
      <c r="L74" s="119"/>
      <c r="M74" s="119"/>
      <c r="N74" s="119"/>
      <c r="O74" s="113"/>
      <c r="P74" s="119"/>
      <c r="Q74" s="119"/>
      <c r="R74" s="113">
        <f>SUM(B74:Q74)</f>
        <v>0</v>
      </c>
    </row>
    <row r="75" spans="1:18" ht="14.25">
      <c r="A75" s="137" t="s">
        <v>340</v>
      </c>
      <c r="B75" s="119"/>
      <c r="C75" s="119"/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3"/>
      <c r="P75" s="119"/>
      <c r="Q75" s="119"/>
      <c r="R75" s="113"/>
    </row>
    <row r="76" spans="1:18" ht="14.25">
      <c r="A76" s="137" t="s">
        <v>341</v>
      </c>
      <c r="B76" s="119"/>
      <c r="C76" s="119"/>
      <c r="D76" s="119"/>
      <c r="E76" s="119"/>
      <c r="F76" s="119"/>
      <c r="G76" s="119"/>
      <c r="H76" s="119"/>
      <c r="I76" s="119"/>
      <c r="J76" s="119"/>
      <c r="K76" s="119"/>
      <c r="L76" s="119"/>
      <c r="M76" s="119"/>
      <c r="N76" s="119"/>
      <c r="O76" s="113"/>
      <c r="P76" s="119"/>
      <c r="Q76" s="119"/>
      <c r="R76" s="113"/>
    </row>
    <row r="77" spans="1:18" ht="14.25">
      <c r="A77" s="133" t="s">
        <v>38</v>
      </c>
      <c r="B77" s="103"/>
      <c r="C77" s="122">
        <v>0</v>
      </c>
      <c r="D77" s="103">
        <v>0</v>
      </c>
      <c r="E77" s="103">
        <v>0</v>
      </c>
      <c r="F77" s="103">
        <v>0</v>
      </c>
      <c r="G77" s="103">
        <v>0</v>
      </c>
      <c r="H77" s="103">
        <f>SUM(H65:H76)</f>
        <v>0</v>
      </c>
      <c r="I77" s="103">
        <v>0</v>
      </c>
      <c r="J77" s="103">
        <v>0</v>
      </c>
      <c r="K77" s="103">
        <v>0</v>
      </c>
      <c r="L77" s="103">
        <f>SUM(L66:L76)</f>
        <v>0</v>
      </c>
      <c r="M77" s="103">
        <v>0</v>
      </c>
      <c r="N77" s="103">
        <v>0</v>
      </c>
      <c r="O77" s="103">
        <v>0</v>
      </c>
      <c r="P77" s="103">
        <v>0</v>
      </c>
      <c r="Q77" s="103"/>
      <c r="R77" s="115">
        <f>SUM(C77:P77)</f>
        <v>0</v>
      </c>
    </row>
    <row r="78" spans="1:18" ht="15" thickBot="1">
      <c r="A78" s="134" t="s">
        <v>39</v>
      </c>
      <c r="B78" s="136"/>
      <c r="C78" s="123">
        <v>0</v>
      </c>
      <c r="D78" s="136">
        <v>0</v>
      </c>
      <c r="E78" s="136">
        <v>0</v>
      </c>
      <c r="F78" s="136">
        <v>0</v>
      </c>
      <c r="G78" s="136">
        <v>0</v>
      </c>
      <c r="H78" s="136">
        <v>0</v>
      </c>
      <c r="I78" s="136">
        <v>0</v>
      </c>
      <c r="J78" s="136">
        <v>0</v>
      </c>
      <c r="K78" s="136">
        <v>0</v>
      </c>
      <c r="L78" s="136">
        <v>0</v>
      </c>
      <c r="M78" s="136">
        <v>0</v>
      </c>
      <c r="N78" s="136">
        <v>0</v>
      </c>
      <c r="O78" s="136">
        <v>0</v>
      </c>
      <c r="P78" s="136">
        <v>0</v>
      </c>
      <c r="Q78" s="136"/>
      <c r="R78" s="116">
        <f>SUM(C78:Q78)</f>
        <v>0</v>
      </c>
    </row>
    <row r="79" ht="15" thickTop="1"/>
    <row r="82" spans="1:18" s="107" customFormat="1" ht="13.5" customHeight="1">
      <c r="A82" s="108" t="s">
        <v>125</v>
      </c>
      <c r="B82" s="323" t="s">
        <v>101</v>
      </c>
      <c r="C82" s="324" t="s">
        <v>102</v>
      </c>
      <c r="D82" s="324"/>
      <c r="E82" s="324"/>
      <c r="F82" s="130" t="s">
        <v>103</v>
      </c>
      <c r="G82" s="324" t="s">
        <v>104</v>
      </c>
      <c r="H82" s="324"/>
      <c r="I82" s="324" t="s">
        <v>105</v>
      </c>
      <c r="J82" s="324"/>
      <c r="K82" s="130" t="s">
        <v>106</v>
      </c>
      <c r="L82" s="324" t="s">
        <v>107</v>
      </c>
      <c r="M82" s="324"/>
      <c r="N82" s="324" t="s">
        <v>108</v>
      </c>
      <c r="O82" s="324"/>
      <c r="P82" s="327" t="s">
        <v>123</v>
      </c>
      <c r="Q82" s="328"/>
      <c r="R82" s="329" t="s">
        <v>20</v>
      </c>
    </row>
    <row r="83" spans="1:18" s="107" customFormat="1" ht="13.5" customHeight="1">
      <c r="A83" s="109" t="s">
        <v>126</v>
      </c>
      <c r="B83" s="323"/>
      <c r="C83" s="130" t="s">
        <v>109</v>
      </c>
      <c r="D83" s="130" t="s">
        <v>121</v>
      </c>
      <c r="E83" s="130" t="s">
        <v>110</v>
      </c>
      <c r="F83" s="130" t="s">
        <v>111</v>
      </c>
      <c r="G83" s="130" t="s">
        <v>112</v>
      </c>
      <c r="H83" s="130" t="s">
        <v>113</v>
      </c>
      <c r="I83" s="130" t="s">
        <v>114</v>
      </c>
      <c r="J83" s="130" t="s">
        <v>115</v>
      </c>
      <c r="K83" s="130" t="s">
        <v>122</v>
      </c>
      <c r="L83" s="130" t="s">
        <v>116</v>
      </c>
      <c r="M83" s="130" t="s">
        <v>117</v>
      </c>
      <c r="N83" s="130" t="s">
        <v>118</v>
      </c>
      <c r="O83" s="130" t="s">
        <v>119</v>
      </c>
      <c r="P83" s="130" t="s">
        <v>367</v>
      </c>
      <c r="Q83" s="250" t="s">
        <v>124</v>
      </c>
      <c r="R83" s="330"/>
    </row>
    <row r="84" spans="1:18" ht="13.5" customHeight="1">
      <c r="A84" s="135" t="s">
        <v>342</v>
      </c>
      <c r="B84" s="112"/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</row>
    <row r="85" spans="1:18" ht="13.5" customHeight="1">
      <c r="A85" s="137" t="s">
        <v>343</v>
      </c>
      <c r="B85" s="110"/>
      <c r="C85" s="110">
        <v>0</v>
      </c>
      <c r="D85" s="110"/>
      <c r="E85" s="110"/>
      <c r="F85" s="110"/>
      <c r="G85" s="110">
        <v>0</v>
      </c>
      <c r="H85" s="110"/>
      <c r="I85" s="110"/>
      <c r="J85" s="110"/>
      <c r="K85" s="110"/>
      <c r="L85" s="110"/>
      <c r="M85" s="110"/>
      <c r="N85" s="110"/>
      <c r="O85" s="110"/>
      <c r="P85" s="110"/>
      <c r="Q85" s="110"/>
      <c r="R85" s="110">
        <f>SUM(C85:P85)</f>
        <v>0</v>
      </c>
    </row>
    <row r="86" spans="1:18" ht="13.5" customHeight="1">
      <c r="A86" s="133" t="s">
        <v>344</v>
      </c>
      <c r="B86" s="113"/>
      <c r="C86" s="113">
        <v>0</v>
      </c>
      <c r="D86" s="113"/>
      <c r="E86" s="113"/>
      <c r="F86" s="113"/>
      <c r="G86" s="113">
        <v>0</v>
      </c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>
        <f>SUM(C86:P86)</f>
        <v>0</v>
      </c>
    </row>
    <row r="87" spans="1:18" ht="13.5" customHeight="1">
      <c r="A87" s="133" t="s">
        <v>345</v>
      </c>
      <c r="B87" s="113"/>
      <c r="C87" s="113">
        <v>0</v>
      </c>
      <c r="D87" s="113"/>
      <c r="E87" s="113"/>
      <c r="F87" s="113"/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>
        <f>SUM(C87:P87)</f>
        <v>0</v>
      </c>
    </row>
    <row r="88" spans="1:18" ht="13.5" customHeight="1">
      <c r="A88" s="132" t="s">
        <v>346</v>
      </c>
      <c r="B88" s="113"/>
      <c r="C88" s="113">
        <v>0</v>
      </c>
      <c r="D88" s="113"/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>
        <f>SUM(C88:Q88)</f>
        <v>0</v>
      </c>
    </row>
    <row r="89" spans="1:18" ht="13.5" customHeight="1">
      <c r="A89" s="133" t="s">
        <v>347</v>
      </c>
      <c r="B89" s="114"/>
      <c r="C89" s="114">
        <v>0</v>
      </c>
      <c r="D89" s="114"/>
      <c r="E89" s="114"/>
      <c r="F89" s="114"/>
      <c r="G89" s="114">
        <v>0</v>
      </c>
      <c r="H89" s="114"/>
      <c r="I89" s="114"/>
      <c r="J89" s="114"/>
      <c r="K89" s="114"/>
      <c r="L89" s="114"/>
      <c r="M89" s="114"/>
      <c r="N89" s="114"/>
      <c r="O89" s="114"/>
      <c r="P89" s="114"/>
      <c r="Q89" s="114"/>
      <c r="R89" s="114">
        <f>SUM(C89:P89)</f>
        <v>0</v>
      </c>
    </row>
    <row r="90" spans="1:18" ht="13.5" customHeight="1">
      <c r="A90" s="133" t="s">
        <v>38</v>
      </c>
      <c r="B90" s="103"/>
      <c r="C90" s="103">
        <v>0</v>
      </c>
      <c r="D90" s="103">
        <v>0</v>
      </c>
      <c r="E90" s="103">
        <v>0</v>
      </c>
      <c r="F90" s="103">
        <v>0</v>
      </c>
      <c r="G90" s="103">
        <v>0</v>
      </c>
      <c r="H90" s="103">
        <v>0</v>
      </c>
      <c r="I90" s="103">
        <v>0</v>
      </c>
      <c r="J90" s="103">
        <v>0</v>
      </c>
      <c r="K90" s="103">
        <v>0</v>
      </c>
      <c r="L90" s="103">
        <v>0</v>
      </c>
      <c r="M90" s="103">
        <v>0</v>
      </c>
      <c r="N90" s="103">
        <v>0</v>
      </c>
      <c r="O90" s="103">
        <v>0</v>
      </c>
      <c r="P90" s="103">
        <v>0</v>
      </c>
      <c r="Q90" s="103"/>
      <c r="R90" s="115">
        <f>SUM(C90:P90)</f>
        <v>0</v>
      </c>
    </row>
    <row r="91" spans="1:18" ht="13.5" customHeight="1" thickBot="1">
      <c r="A91" s="134" t="s">
        <v>39</v>
      </c>
      <c r="B91" s="103"/>
      <c r="C91" s="103">
        <v>0</v>
      </c>
      <c r="D91" s="103">
        <v>0</v>
      </c>
      <c r="E91" s="103">
        <v>0</v>
      </c>
      <c r="F91" s="103">
        <v>0</v>
      </c>
      <c r="G91" s="103">
        <v>0</v>
      </c>
      <c r="H91" s="103">
        <v>0</v>
      </c>
      <c r="I91" s="103">
        <v>0</v>
      </c>
      <c r="J91" s="103">
        <v>0</v>
      </c>
      <c r="K91" s="103">
        <v>0</v>
      </c>
      <c r="L91" s="103">
        <v>0</v>
      </c>
      <c r="M91" s="103">
        <v>0</v>
      </c>
      <c r="N91" s="103">
        <v>0</v>
      </c>
      <c r="O91" s="103">
        <v>0</v>
      </c>
      <c r="P91" s="103">
        <v>0</v>
      </c>
      <c r="Q91" s="248"/>
      <c r="R91" s="116">
        <f>SUM(C91:P91)</f>
        <v>0</v>
      </c>
    </row>
    <row r="92" spans="1:18" ht="13.5" customHeight="1" thickTop="1">
      <c r="A92" s="135" t="s">
        <v>348</v>
      </c>
      <c r="B92" s="117"/>
      <c r="C92" s="117"/>
      <c r="D92" s="117"/>
      <c r="E92" s="117"/>
      <c r="F92" s="117"/>
      <c r="G92" s="117"/>
      <c r="H92" s="117"/>
      <c r="I92" s="117"/>
      <c r="J92" s="127"/>
      <c r="K92" s="117"/>
      <c r="L92" s="117"/>
      <c r="M92" s="117"/>
      <c r="N92" s="117"/>
      <c r="O92" s="118"/>
      <c r="P92" s="117"/>
      <c r="Q92" s="117"/>
      <c r="R92" s="118"/>
    </row>
    <row r="93" spans="1:18" ht="13.5" customHeight="1">
      <c r="A93" s="133" t="s">
        <v>349</v>
      </c>
      <c r="B93" s="119"/>
      <c r="C93" s="119"/>
      <c r="D93" s="119"/>
      <c r="E93" s="119"/>
      <c r="F93" s="119"/>
      <c r="G93" s="119"/>
      <c r="H93" s="119"/>
      <c r="I93" s="119"/>
      <c r="J93" s="125"/>
      <c r="K93" s="119"/>
      <c r="L93" s="119"/>
      <c r="M93" s="119"/>
      <c r="N93" s="119"/>
      <c r="O93" s="113"/>
      <c r="P93" s="119"/>
      <c r="Q93" s="119"/>
      <c r="R93" s="113"/>
    </row>
    <row r="94" spans="1:18" ht="13.5" customHeight="1">
      <c r="A94" s="133" t="s">
        <v>350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3"/>
      <c r="P94" s="119"/>
      <c r="Q94" s="119"/>
      <c r="R94" s="113"/>
    </row>
    <row r="95" spans="1:18" ht="13.5" customHeight="1">
      <c r="A95" s="133" t="s">
        <v>351</v>
      </c>
      <c r="B95" s="119"/>
      <c r="C95" s="119"/>
      <c r="D95" s="119"/>
      <c r="E95" s="119"/>
      <c r="F95" s="119"/>
      <c r="G95" s="119"/>
      <c r="H95" s="119"/>
      <c r="I95" s="119"/>
      <c r="J95" s="119"/>
      <c r="K95" s="119"/>
      <c r="L95" s="119"/>
      <c r="M95" s="119"/>
      <c r="N95" s="119"/>
      <c r="O95" s="113"/>
      <c r="P95" s="119"/>
      <c r="Q95" s="119"/>
      <c r="R95" s="113"/>
    </row>
    <row r="96" spans="1:18" ht="13.5" customHeight="1">
      <c r="A96" s="133" t="s">
        <v>352</v>
      </c>
      <c r="B96" s="119"/>
      <c r="C96" s="119"/>
      <c r="D96" s="119"/>
      <c r="E96" s="119"/>
      <c r="F96" s="119"/>
      <c r="G96" s="119"/>
      <c r="H96" s="119"/>
      <c r="I96" s="119"/>
      <c r="J96" s="119"/>
      <c r="K96" s="119"/>
      <c r="L96" s="119"/>
      <c r="M96" s="119"/>
      <c r="N96" s="119"/>
      <c r="O96" s="113"/>
      <c r="P96" s="119"/>
      <c r="Q96" s="119"/>
      <c r="R96" s="113"/>
    </row>
    <row r="97" spans="1:18" ht="13.5" customHeight="1">
      <c r="A97" s="133" t="s">
        <v>353</v>
      </c>
      <c r="B97" s="119"/>
      <c r="C97" s="119"/>
      <c r="D97" s="119"/>
      <c r="E97" s="119"/>
      <c r="F97" s="119"/>
      <c r="G97" s="119"/>
      <c r="H97" s="119"/>
      <c r="I97" s="119"/>
      <c r="J97" s="119"/>
      <c r="K97" s="119"/>
      <c r="L97" s="119"/>
      <c r="M97" s="119"/>
      <c r="N97" s="119"/>
      <c r="O97" s="113"/>
      <c r="P97" s="119"/>
      <c r="Q97" s="119"/>
      <c r="R97" s="113"/>
    </row>
    <row r="98" spans="1:18" ht="13.5" customHeight="1">
      <c r="A98" s="137" t="s">
        <v>354</v>
      </c>
      <c r="B98" s="125"/>
      <c r="C98" s="125"/>
      <c r="D98" s="125"/>
      <c r="E98" s="125"/>
      <c r="F98" s="125"/>
      <c r="G98" s="125"/>
      <c r="H98" s="125"/>
      <c r="I98" s="125"/>
      <c r="J98" s="125"/>
      <c r="K98" s="125"/>
      <c r="L98" s="125"/>
      <c r="M98" s="125"/>
      <c r="N98" s="125"/>
      <c r="O98" s="126"/>
      <c r="P98" s="125"/>
      <c r="Q98" s="125"/>
      <c r="R98" s="126"/>
    </row>
    <row r="99" spans="1:18" ht="13.5" customHeight="1">
      <c r="A99" s="133" t="s">
        <v>355</v>
      </c>
      <c r="B99" s="119"/>
      <c r="C99" s="119"/>
      <c r="D99" s="119"/>
      <c r="E99" s="119"/>
      <c r="F99" s="119"/>
      <c r="G99" s="119"/>
      <c r="H99" s="119"/>
      <c r="I99" s="119"/>
      <c r="J99" s="119"/>
      <c r="K99" s="119"/>
      <c r="L99" s="119"/>
      <c r="M99" s="119"/>
      <c r="N99" s="119"/>
      <c r="O99" s="113"/>
      <c r="P99" s="119"/>
      <c r="Q99" s="119"/>
      <c r="R99" s="113"/>
    </row>
    <row r="100" spans="1:18" ht="13.5" customHeight="1">
      <c r="A100" s="137" t="s">
        <v>356</v>
      </c>
      <c r="B100" s="120"/>
      <c r="C100" s="120"/>
      <c r="D100" s="120"/>
      <c r="E100" s="120"/>
      <c r="F100" s="120"/>
      <c r="G100" s="120">
        <v>0</v>
      </c>
      <c r="H100" s="197"/>
      <c r="I100" s="120"/>
      <c r="J100" s="120"/>
      <c r="K100" s="120"/>
      <c r="L100" s="120"/>
      <c r="M100" s="120"/>
      <c r="N100" s="120"/>
      <c r="O100" s="110"/>
      <c r="P100" s="120"/>
      <c r="Q100" s="120"/>
      <c r="R100" s="266">
        <f>SUM(G100:Q100)</f>
        <v>0</v>
      </c>
    </row>
    <row r="101" spans="1:18" ht="13.5" customHeight="1">
      <c r="A101" s="133" t="s">
        <v>38</v>
      </c>
      <c r="B101" s="103"/>
      <c r="C101" s="103">
        <v>0</v>
      </c>
      <c r="D101" s="103">
        <v>0</v>
      </c>
      <c r="E101" s="103">
        <v>0</v>
      </c>
      <c r="F101" s="103">
        <v>0</v>
      </c>
      <c r="G101" s="103">
        <v>0</v>
      </c>
      <c r="H101" s="103">
        <v>0</v>
      </c>
      <c r="I101" s="103">
        <v>0</v>
      </c>
      <c r="J101" s="103">
        <v>0</v>
      </c>
      <c r="K101" s="103">
        <v>0</v>
      </c>
      <c r="L101" s="103">
        <v>0</v>
      </c>
      <c r="M101" s="103">
        <v>0</v>
      </c>
      <c r="N101" s="103">
        <v>0</v>
      </c>
      <c r="O101" s="103">
        <v>0</v>
      </c>
      <c r="P101" s="103">
        <v>0</v>
      </c>
      <c r="Q101" s="103"/>
      <c r="R101" s="103">
        <f>SUM(G101)</f>
        <v>0</v>
      </c>
    </row>
    <row r="102" spans="1:18" ht="13.5" customHeight="1" thickBot="1">
      <c r="A102" s="134" t="s">
        <v>39</v>
      </c>
      <c r="B102" s="136"/>
      <c r="C102" s="136">
        <v>0</v>
      </c>
      <c r="D102" s="136">
        <v>0</v>
      </c>
      <c r="E102" s="136">
        <v>0</v>
      </c>
      <c r="F102" s="136">
        <v>0</v>
      </c>
      <c r="G102" s="136">
        <v>0</v>
      </c>
      <c r="H102" s="136">
        <v>0</v>
      </c>
      <c r="I102" s="136">
        <v>0</v>
      </c>
      <c r="J102" s="136">
        <v>0</v>
      </c>
      <c r="K102" s="136">
        <v>0</v>
      </c>
      <c r="L102" s="136">
        <v>0</v>
      </c>
      <c r="M102" s="136">
        <v>0</v>
      </c>
      <c r="N102" s="136">
        <v>0</v>
      </c>
      <c r="O102" s="136">
        <v>0</v>
      </c>
      <c r="P102" s="136">
        <v>0</v>
      </c>
      <c r="Q102" s="136"/>
      <c r="R102" s="116">
        <f>SUM(C102:Q102)</f>
        <v>0</v>
      </c>
    </row>
    <row r="103" spans="1:18" ht="13.5" customHeight="1" thickTop="1">
      <c r="A103" s="137" t="s">
        <v>357</v>
      </c>
      <c r="B103" s="125"/>
      <c r="C103" s="125"/>
      <c r="D103" s="125"/>
      <c r="E103" s="125"/>
      <c r="F103" s="125"/>
      <c r="G103" s="125"/>
      <c r="H103" s="125"/>
      <c r="I103" s="125"/>
      <c r="J103" s="125"/>
      <c r="K103" s="125"/>
      <c r="L103" s="125"/>
      <c r="M103" s="125"/>
      <c r="N103" s="126"/>
      <c r="O103" s="126"/>
      <c r="P103" s="126"/>
      <c r="Q103" s="126"/>
      <c r="R103" s="127"/>
    </row>
    <row r="104" spans="1:18" ht="13.5" customHeight="1">
      <c r="A104" s="137" t="s">
        <v>358</v>
      </c>
      <c r="B104" s="125"/>
      <c r="C104" s="125"/>
      <c r="D104" s="125"/>
      <c r="E104" s="125"/>
      <c r="F104" s="125"/>
      <c r="G104" s="125"/>
      <c r="H104" s="125"/>
      <c r="I104" s="125"/>
      <c r="J104" s="125"/>
      <c r="K104" s="125"/>
      <c r="L104" s="125"/>
      <c r="M104" s="125"/>
      <c r="N104" s="125"/>
      <c r="O104" s="126"/>
      <c r="P104" s="125"/>
      <c r="Q104" s="125"/>
      <c r="R104" s="126"/>
    </row>
    <row r="105" spans="1:18" ht="13.5" customHeight="1">
      <c r="A105" s="137" t="s">
        <v>359</v>
      </c>
      <c r="B105" s="125"/>
      <c r="C105" s="125"/>
      <c r="D105" s="125"/>
      <c r="E105" s="125"/>
      <c r="F105" s="125"/>
      <c r="G105" s="125"/>
      <c r="H105" s="125"/>
      <c r="I105" s="125"/>
      <c r="J105" s="125"/>
      <c r="K105" s="125"/>
      <c r="L105" s="125"/>
      <c r="M105" s="125"/>
      <c r="N105" s="125"/>
      <c r="O105" s="126"/>
      <c r="P105" s="125"/>
      <c r="Q105" s="125"/>
      <c r="R105" s="126"/>
    </row>
    <row r="106" spans="1:18" ht="13.5" customHeight="1">
      <c r="A106" s="133" t="s">
        <v>360</v>
      </c>
      <c r="B106" s="119"/>
      <c r="C106" s="119"/>
      <c r="D106" s="119"/>
      <c r="E106" s="119"/>
      <c r="F106" s="119"/>
      <c r="G106" s="119"/>
      <c r="H106" s="119"/>
      <c r="I106" s="119"/>
      <c r="J106" s="119"/>
      <c r="K106" s="119"/>
      <c r="L106" s="119"/>
      <c r="M106" s="119"/>
      <c r="N106" s="119"/>
      <c r="O106" s="113"/>
      <c r="P106" s="119"/>
      <c r="Q106" s="119"/>
      <c r="R106" s="113"/>
    </row>
    <row r="107" spans="1:18" ht="13.5" customHeight="1">
      <c r="A107" s="133" t="s">
        <v>38</v>
      </c>
      <c r="B107" s="103"/>
      <c r="C107" s="103">
        <f>SUM(C105:C106)</f>
        <v>0</v>
      </c>
      <c r="D107" s="103">
        <v>0</v>
      </c>
      <c r="E107" s="103">
        <v>0</v>
      </c>
      <c r="F107" s="103">
        <v>0</v>
      </c>
      <c r="G107" s="103">
        <v>0</v>
      </c>
      <c r="H107" s="103">
        <v>0</v>
      </c>
      <c r="I107" s="103">
        <v>0</v>
      </c>
      <c r="J107" s="103">
        <v>0</v>
      </c>
      <c r="K107" s="103">
        <v>0</v>
      </c>
      <c r="L107" s="103">
        <v>0</v>
      </c>
      <c r="M107" s="103">
        <v>0</v>
      </c>
      <c r="N107" s="103">
        <v>0</v>
      </c>
      <c r="O107" s="103">
        <v>0</v>
      </c>
      <c r="P107" s="103">
        <v>0</v>
      </c>
      <c r="Q107" s="103"/>
      <c r="R107" s="103">
        <f>SUM(C107:P107)</f>
        <v>0</v>
      </c>
    </row>
    <row r="108" spans="1:18" ht="13.5" customHeight="1" thickBot="1">
      <c r="A108" s="134" t="s">
        <v>39</v>
      </c>
      <c r="B108" s="136"/>
      <c r="C108" s="136">
        <v>0</v>
      </c>
      <c r="D108" s="136">
        <v>0</v>
      </c>
      <c r="E108" s="136">
        <v>0</v>
      </c>
      <c r="F108" s="136">
        <v>0</v>
      </c>
      <c r="G108" s="136">
        <v>0</v>
      </c>
      <c r="H108" s="136">
        <v>0</v>
      </c>
      <c r="I108" s="136">
        <v>0</v>
      </c>
      <c r="J108" s="136">
        <v>0</v>
      </c>
      <c r="K108" s="136">
        <v>0</v>
      </c>
      <c r="L108" s="136">
        <v>0</v>
      </c>
      <c r="M108" s="136">
        <v>0</v>
      </c>
      <c r="N108" s="136">
        <v>0</v>
      </c>
      <c r="O108" s="136">
        <v>0</v>
      </c>
      <c r="P108" s="136">
        <v>0</v>
      </c>
      <c r="Q108" s="136"/>
      <c r="R108" s="116">
        <f>SUM(C108:P108)</f>
        <v>0</v>
      </c>
    </row>
    <row r="109" spans="1:18" ht="13.5" customHeight="1" thickTop="1">
      <c r="A109" s="137" t="s">
        <v>361</v>
      </c>
      <c r="B109" s="125"/>
      <c r="C109" s="125"/>
      <c r="D109" s="125"/>
      <c r="E109" s="125"/>
      <c r="F109" s="125"/>
      <c r="G109" s="125"/>
      <c r="H109" s="125"/>
      <c r="I109" s="125"/>
      <c r="J109" s="125"/>
      <c r="K109" s="125"/>
      <c r="L109" s="125"/>
      <c r="M109" s="126"/>
      <c r="N109" s="125"/>
      <c r="O109" s="127"/>
      <c r="P109" s="125"/>
      <c r="Q109" s="125"/>
      <c r="R109" s="113"/>
    </row>
    <row r="110" spans="1:18" ht="13.5" customHeight="1">
      <c r="A110" s="137" t="s">
        <v>362</v>
      </c>
      <c r="B110" s="113"/>
      <c r="C110" s="119"/>
      <c r="D110" s="119"/>
      <c r="E110" s="119"/>
      <c r="F110" s="119"/>
      <c r="G110" s="119"/>
      <c r="H110" s="119"/>
      <c r="I110" s="119"/>
      <c r="J110" s="119"/>
      <c r="K110" s="119"/>
      <c r="L110" s="119"/>
      <c r="M110" s="119"/>
      <c r="N110" s="119"/>
      <c r="O110" s="113"/>
      <c r="P110" s="119"/>
      <c r="Q110" s="119"/>
      <c r="R110" s="113"/>
    </row>
    <row r="111" spans="1:18" ht="13.5" customHeight="1">
      <c r="A111" s="137" t="s">
        <v>363</v>
      </c>
      <c r="B111" s="120"/>
      <c r="C111" s="119"/>
      <c r="D111" s="119"/>
      <c r="E111" s="119"/>
      <c r="F111" s="119"/>
      <c r="G111" s="119"/>
      <c r="H111" s="119">
        <v>0</v>
      </c>
      <c r="I111" s="119"/>
      <c r="J111" s="119"/>
      <c r="K111" s="119"/>
      <c r="L111" s="119"/>
      <c r="M111" s="119"/>
      <c r="N111" s="119"/>
      <c r="O111" s="119">
        <v>0</v>
      </c>
      <c r="P111" s="113"/>
      <c r="Q111" s="113"/>
      <c r="R111" s="113">
        <f>SUM(C111:P111)</f>
        <v>0</v>
      </c>
    </row>
    <row r="112" spans="1:18" ht="13.5" customHeight="1">
      <c r="A112" s="133" t="s">
        <v>364</v>
      </c>
      <c r="B112" s="119"/>
      <c r="C112" s="119"/>
      <c r="D112" s="119"/>
      <c r="E112" s="119"/>
      <c r="F112" s="119"/>
      <c r="G112" s="119"/>
      <c r="H112" s="119"/>
      <c r="I112" s="119"/>
      <c r="J112" s="119"/>
      <c r="K112" s="119"/>
      <c r="L112" s="119"/>
      <c r="M112" s="119"/>
      <c r="N112" s="119"/>
      <c r="O112" s="119"/>
      <c r="P112" s="113"/>
      <c r="Q112" s="113"/>
      <c r="R112" s="113">
        <f>SUM(C112:P112)</f>
        <v>0</v>
      </c>
    </row>
    <row r="113" spans="1:18" ht="13.5" customHeight="1">
      <c r="A113" s="133" t="s">
        <v>38</v>
      </c>
      <c r="B113" s="103"/>
      <c r="C113" s="103">
        <v>0</v>
      </c>
      <c r="D113" s="103">
        <v>0</v>
      </c>
      <c r="E113" s="103">
        <v>0</v>
      </c>
      <c r="F113" s="103">
        <v>0</v>
      </c>
      <c r="G113" s="103">
        <v>0</v>
      </c>
      <c r="H113" s="103">
        <v>0</v>
      </c>
      <c r="I113" s="103">
        <v>0</v>
      </c>
      <c r="J113" s="103">
        <v>0</v>
      </c>
      <c r="K113" s="103">
        <v>0</v>
      </c>
      <c r="L113" s="103">
        <v>0</v>
      </c>
      <c r="M113" s="103">
        <f>SUM(M109:M112)</f>
        <v>0</v>
      </c>
      <c r="N113" s="103">
        <f>SUM(N111:N112)</f>
        <v>0</v>
      </c>
      <c r="O113" s="103">
        <f>SUM(O111:O112)</f>
        <v>0</v>
      </c>
      <c r="P113" s="103">
        <f>SUM(P109:P112)</f>
        <v>0</v>
      </c>
      <c r="Q113" s="103"/>
      <c r="R113" s="103">
        <f>SUM(C113:P113)</f>
        <v>0</v>
      </c>
    </row>
    <row r="114" spans="1:18" ht="13.5" customHeight="1" thickBot="1">
      <c r="A114" s="134" t="s">
        <v>39</v>
      </c>
      <c r="B114" s="136"/>
      <c r="C114" s="136">
        <v>0</v>
      </c>
      <c r="D114" s="136">
        <v>0</v>
      </c>
      <c r="E114" s="136">
        <v>0</v>
      </c>
      <c r="F114" s="136">
        <v>0</v>
      </c>
      <c r="G114" s="136">
        <v>0</v>
      </c>
      <c r="H114" s="136">
        <v>0</v>
      </c>
      <c r="I114" s="136">
        <v>0</v>
      </c>
      <c r="J114" s="136">
        <v>0</v>
      </c>
      <c r="K114" s="136">
        <v>0</v>
      </c>
      <c r="L114" s="136">
        <v>0</v>
      </c>
      <c r="M114" s="136">
        <v>0</v>
      </c>
      <c r="N114" s="136">
        <f>SUM(N112:N113)</f>
        <v>0</v>
      </c>
      <c r="O114" s="136">
        <v>0</v>
      </c>
      <c r="P114" s="136">
        <v>0</v>
      </c>
      <c r="Q114" s="136"/>
      <c r="R114" s="136">
        <f>SUM(C114:P114)</f>
        <v>0</v>
      </c>
    </row>
    <row r="115" spans="1:18" ht="13.5" customHeight="1" thickTop="1">
      <c r="A115" s="137" t="s">
        <v>365</v>
      </c>
      <c r="B115" s="120"/>
      <c r="C115" s="125"/>
      <c r="D115" s="125"/>
      <c r="E115" s="125"/>
      <c r="F115" s="125"/>
      <c r="G115" s="125"/>
      <c r="H115" s="125"/>
      <c r="I115" s="125"/>
      <c r="J115" s="125"/>
      <c r="K115" s="125"/>
      <c r="L115" s="125"/>
      <c r="M115" s="125"/>
      <c r="N115" s="125"/>
      <c r="O115" s="126"/>
      <c r="P115" s="125"/>
      <c r="Q115" s="125"/>
      <c r="R115" s="126"/>
    </row>
    <row r="116" spans="1:18" ht="13.5" customHeight="1">
      <c r="A116" s="137" t="s">
        <v>366</v>
      </c>
      <c r="B116" s="121"/>
      <c r="C116" s="120"/>
      <c r="D116" s="120">
        <v>0</v>
      </c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110"/>
      <c r="P116" s="120"/>
      <c r="Q116" s="120"/>
      <c r="R116" s="110">
        <f>SUM(B116:P116)</f>
        <v>0</v>
      </c>
    </row>
    <row r="117" spans="1:18" ht="13.5" customHeight="1">
      <c r="A117" s="133" t="s">
        <v>38</v>
      </c>
      <c r="B117" s="103">
        <v>0</v>
      </c>
      <c r="C117" s="103">
        <v>0</v>
      </c>
      <c r="D117" s="103">
        <f>SUM(D116)</f>
        <v>0</v>
      </c>
      <c r="E117" s="103">
        <v>0</v>
      </c>
      <c r="F117" s="103">
        <v>0</v>
      </c>
      <c r="G117" s="103">
        <v>0</v>
      </c>
      <c r="H117" s="103">
        <v>0</v>
      </c>
      <c r="I117" s="103">
        <v>0</v>
      </c>
      <c r="J117" s="103">
        <v>0</v>
      </c>
      <c r="K117" s="103">
        <v>0</v>
      </c>
      <c r="L117" s="103">
        <v>0</v>
      </c>
      <c r="M117" s="103">
        <v>0</v>
      </c>
      <c r="N117" s="103">
        <v>0</v>
      </c>
      <c r="O117" s="103">
        <v>0</v>
      </c>
      <c r="P117" s="103">
        <v>0</v>
      </c>
      <c r="Q117" s="103"/>
      <c r="R117" s="103">
        <f>SUM(B117:P117)</f>
        <v>0</v>
      </c>
    </row>
    <row r="118" spans="1:18" ht="13.5" customHeight="1" thickBot="1">
      <c r="A118" s="134" t="s">
        <v>39</v>
      </c>
      <c r="B118" s="136">
        <v>0</v>
      </c>
      <c r="C118" s="136">
        <v>0</v>
      </c>
      <c r="D118" s="136">
        <v>0</v>
      </c>
      <c r="E118" s="136">
        <v>0</v>
      </c>
      <c r="F118" s="136">
        <v>0</v>
      </c>
      <c r="G118" s="136">
        <v>0</v>
      </c>
      <c r="H118" s="136">
        <v>0</v>
      </c>
      <c r="I118" s="136">
        <v>0</v>
      </c>
      <c r="J118" s="136">
        <v>0</v>
      </c>
      <c r="K118" s="136">
        <v>0</v>
      </c>
      <c r="L118" s="136">
        <v>0</v>
      </c>
      <c r="M118" s="136">
        <v>0</v>
      </c>
      <c r="N118" s="136">
        <v>0</v>
      </c>
      <c r="O118" s="136">
        <v>0</v>
      </c>
      <c r="P118" s="136">
        <v>0</v>
      </c>
      <c r="Q118" s="136"/>
      <c r="R118" s="136">
        <f>SUM(B118:P118)</f>
        <v>0</v>
      </c>
    </row>
    <row r="119" spans="1:18" ht="13.5" customHeight="1" thickTop="1">
      <c r="A119" s="133" t="s">
        <v>38</v>
      </c>
      <c r="B119" s="115">
        <f>SUM(B14)</f>
        <v>0</v>
      </c>
      <c r="C119" s="103">
        <f>SUM(C29+C62)</f>
        <v>0</v>
      </c>
      <c r="D119" s="196">
        <v>0</v>
      </c>
      <c r="E119" s="196">
        <f>SUM(E29,E47,E55,E62,E77,E90,E101,E107,E113)</f>
        <v>0</v>
      </c>
      <c r="F119" s="196">
        <v>0</v>
      </c>
      <c r="G119" s="196">
        <f>SUM(G29,G47,G55,G62,G77,G90,G101,G107,G113)</f>
        <v>0</v>
      </c>
      <c r="H119" s="196">
        <f>SUM(H55,H62,H77,H90,H101,H107,H113)</f>
        <v>0</v>
      </c>
      <c r="I119" s="196">
        <f>SUM(I14+I23+I29+I34+I47+I55+I62+I77+I90+I101+I107+I113)</f>
        <v>0</v>
      </c>
      <c r="J119" s="196">
        <v>0</v>
      </c>
      <c r="K119" s="196">
        <v>0</v>
      </c>
      <c r="L119" s="196">
        <f>SUM(L29,L47,L55,L62,L77,L90,L101,L107,L113)</f>
        <v>0</v>
      </c>
      <c r="M119" s="196">
        <v>0</v>
      </c>
      <c r="N119" s="196">
        <v>0</v>
      </c>
      <c r="O119" s="196">
        <f>SUM(O62)</f>
        <v>0</v>
      </c>
      <c r="P119" s="196">
        <v>0</v>
      </c>
      <c r="Q119" s="196"/>
      <c r="R119" s="115">
        <f>SUM(B119:Q119)</f>
        <v>0</v>
      </c>
    </row>
    <row r="120" spans="1:18" ht="13.5" customHeight="1" thickBot="1">
      <c r="A120" s="134" t="s">
        <v>39</v>
      </c>
      <c r="B120" s="116">
        <f>SUM(B15)</f>
        <v>0</v>
      </c>
      <c r="C120" s="136">
        <f>SUM(C30+C56+C63)</f>
        <v>35000</v>
      </c>
      <c r="D120" s="136">
        <v>0</v>
      </c>
      <c r="E120" s="136">
        <f>SUM(E30,E48,E56,E63,E78)</f>
        <v>0</v>
      </c>
      <c r="F120" s="136">
        <v>0</v>
      </c>
      <c r="G120" s="136">
        <f>SUM(G30,G48,G56,G91,G102)</f>
        <v>-35000</v>
      </c>
      <c r="H120" s="136">
        <f>SUM(H114)</f>
        <v>0</v>
      </c>
      <c r="I120" s="136">
        <f>SUM(I48)</f>
        <v>0</v>
      </c>
      <c r="J120" s="136">
        <v>0</v>
      </c>
      <c r="K120" s="136">
        <v>0</v>
      </c>
      <c r="L120" s="136">
        <f>SUM(L30,L48,L56,L63)</f>
        <v>0</v>
      </c>
      <c r="M120" s="136">
        <v>0</v>
      </c>
      <c r="N120" s="136">
        <v>0</v>
      </c>
      <c r="O120" s="136">
        <f>SUM(O63)</f>
        <v>0</v>
      </c>
      <c r="P120" s="136">
        <v>0</v>
      </c>
      <c r="Q120" s="136"/>
      <c r="R120" s="116">
        <f>SUM(B120:Q120)</f>
        <v>0</v>
      </c>
    </row>
    <row r="121" ht="15" thickTop="1"/>
  </sheetData>
  <sheetProtection/>
  <mergeCells count="28">
    <mergeCell ref="N82:O82"/>
    <mergeCell ref="I6:J6"/>
    <mergeCell ref="N42:O42"/>
    <mergeCell ref="P6:Q6"/>
    <mergeCell ref="P82:Q82"/>
    <mergeCell ref="R82:R83"/>
    <mergeCell ref="L42:M42"/>
    <mergeCell ref="N6:O6"/>
    <mergeCell ref="A3:R3"/>
    <mergeCell ref="B82:B83"/>
    <mergeCell ref="C82:E82"/>
    <mergeCell ref="G82:H82"/>
    <mergeCell ref="I82:J82"/>
    <mergeCell ref="L82:M82"/>
    <mergeCell ref="B42:B43"/>
    <mergeCell ref="C42:E42"/>
    <mergeCell ref="G42:H42"/>
    <mergeCell ref="I42:J42"/>
    <mergeCell ref="G6:H6"/>
    <mergeCell ref="P42:Q42"/>
    <mergeCell ref="R42:R43"/>
    <mergeCell ref="A1:R1"/>
    <mergeCell ref="A2:R2"/>
    <mergeCell ref="A4:R4"/>
    <mergeCell ref="B6:B7"/>
    <mergeCell ref="C6:E6"/>
    <mergeCell ref="L6:M6"/>
    <mergeCell ref="R6:R7"/>
  </mergeCells>
  <printOptions/>
  <pageMargins left="0.1968503937007874" right="0.1968503937007874" top="0.2362204724409449" bottom="0.1968503937007874" header="0.2755905511811024" footer="0.1968503937007874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119"/>
  <sheetViews>
    <sheetView tabSelected="1" view="pageBreakPreview" zoomScaleSheetLayoutView="100" zoomScalePageLayoutView="0" workbookViewId="0" topLeftCell="A1">
      <selection activeCell="F105" sqref="F105"/>
    </sheetView>
  </sheetViews>
  <sheetFormatPr defaultColWidth="9.140625" defaultRowHeight="12.75"/>
  <cols>
    <col min="1" max="1" width="12.421875" style="111" customWidth="1"/>
    <col min="2" max="2" width="7.7109375" style="124" customWidth="1"/>
    <col min="3" max="3" width="7.57421875" style="124" customWidth="1"/>
    <col min="4" max="4" width="7.7109375" style="124" customWidth="1"/>
    <col min="5" max="6" width="7.421875" style="124" customWidth="1"/>
    <col min="7" max="7" width="7.57421875" style="124" customWidth="1"/>
    <col min="8" max="9" width="7.421875" style="124" customWidth="1"/>
    <col min="10" max="10" width="7.28125" style="124" customWidth="1"/>
    <col min="11" max="11" width="7.140625" style="124" customWidth="1"/>
    <col min="12" max="12" width="7.421875" style="124" customWidth="1"/>
    <col min="13" max="13" width="7.140625" style="124" customWidth="1"/>
    <col min="14" max="14" width="7.421875" style="124" customWidth="1"/>
    <col min="15" max="15" width="7.57421875" style="124" customWidth="1"/>
    <col min="16" max="16" width="7.421875" style="104" customWidth="1"/>
    <col min="17" max="17" width="7.57421875" style="104" customWidth="1"/>
    <col min="18" max="18" width="9.7109375" style="104" customWidth="1"/>
    <col min="19" max="16384" width="9.140625" style="105" customWidth="1"/>
  </cols>
  <sheetData>
    <row r="1" spans="1:18" ht="16.5">
      <c r="A1" s="325" t="s">
        <v>100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</row>
    <row r="2" spans="1:18" ht="16.5">
      <c r="A2" s="325" t="s">
        <v>514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</row>
    <row r="3" spans="1:18" ht="16.5">
      <c r="A3" s="326" t="s">
        <v>475</v>
      </c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6"/>
      <c r="Q3" s="326"/>
      <c r="R3" s="326"/>
    </row>
    <row r="4" spans="1:18" ht="16.5">
      <c r="A4" s="326"/>
      <c r="B4" s="326"/>
      <c r="C4" s="326"/>
      <c r="D4" s="326"/>
      <c r="E4" s="326"/>
      <c r="F4" s="326"/>
      <c r="G4" s="326"/>
      <c r="H4" s="326"/>
      <c r="I4" s="326"/>
      <c r="J4" s="326"/>
      <c r="K4" s="326"/>
      <c r="L4" s="326"/>
      <c r="M4" s="326"/>
      <c r="N4" s="326"/>
      <c r="O4" s="326"/>
      <c r="P4" s="326"/>
      <c r="Q4" s="326"/>
      <c r="R4" s="326"/>
    </row>
    <row r="5" spans="1:18" s="107" customFormat="1" ht="14.25">
      <c r="A5" s="108" t="s">
        <v>125</v>
      </c>
      <c r="B5" s="323" t="s">
        <v>101</v>
      </c>
      <c r="C5" s="324" t="s">
        <v>102</v>
      </c>
      <c r="D5" s="324"/>
      <c r="E5" s="324"/>
      <c r="F5" s="130" t="s">
        <v>103</v>
      </c>
      <c r="G5" s="324" t="s">
        <v>104</v>
      </c>
      <c r="H5" s="324"/>
      <c r="I5" s="324" t="s">
        <v>105</v>
      </c>
      <c r="J5" s="324"/>
      <c r="K5" s="130" t="s">
        <v>106</v>
      </c>
      <c r="L5" s="324" t="s">
        <v>107</v>
      </c>
      <c r="M5" s="324"/>
      <c r="N5" s="324" t="s">
        <v>108</v>
      </c>
      <c r="O5" s="324"/>
      <c r="P5" s="327" t="s">
        <v>123</v>
      </c>
      <c r="Q5" s="328"/>
      <c r="R5" s="329" t="s">
        <v>20</v>
      </c>
    </row>
    <row r="6" spans="1:18" s="107" customFormat="1" ht="14.25">
      <c r="A6" s="109" t="s">
        <v>126</v>
      </c>
      <c r="B6" s="323"/>
      <c r="C6" s="130" t="s">
        <v>109</v>
      </c>
      <c r="D6" s="130" t="s">
        <v>121</v>
      </c>
      <c r="E6" s="130" t="s">
        <v>110</v>
      </c>
      <c r="F6" s="130" t="s">
        <v>111</v>
      </c>
      <c r="G6" s="130" t="s">
        <v>112</v>
      </c>
      <c r="H6" s="130" t="s">
        <v>113</v>
      </c>
      <c r="I6" s="130" t="s">
        <v>114</v>
      </c>
      <c r="J6" s="130" t="s">
        <v>115</v>
      </c>
      <c r="K6" s="130" t="s">
        <v>122</v>
      </c>
      <c r="L6" s="130" t="s">
        <v>116</v>
      </c>
      <c r="M6" s="130" t="s">
        <v>117</v>
      </c>
      <c r="N6" s="130" t="s">
        <v>118</v>
      </c>
      <c r="O6" s="130" t="s">
        <v>119</v>
      </c>
      <c r="P6" s="130" t="s">
        <v>367</v>
      </c>
      <c r="Q6" s="250" t="s">
        <v>124</v>
      </c>
      <c r="R6" s="330"/>
    </row>
    <row r="7" spans="1:18" ht="14.25">
      <c r="A7" s="131" t="s">
        <v>296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</row>
    <row r="8" spans="1:18" ht="14.25">
      <c r="A8" s="132" t="s">
        <v>297</v>
      </c>
      <c r="B8" s="110">
        <v>0</v>
      </c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>
        <f>SUM(B8:P8)</f>
        <v>0</v>
      </c>
    </row>
    <row r="9" spans="1:18" ht="14.25">
      <c r="A9" s="133" t="s">
        <v>298</v>
      </c>
      <c r="B9" s="113">
        <v>0</v>
      </c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>
        <f>SUM(B9:Q9)</f>
        <v>0</v>
      </c>
    </row>
    <row r="10" spans="1:18" ht="14.25">
      <c r="A10" s="133" t="s">
        <v>299</v>
      </c>
      <c r="B10" s="113">
        <v>0</v>
      </c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>
        <f>SUM(B10:P10)</f>
        <v>0</v>
      </c>
    </row>
    <row r="11" spans="1:18" ht="14.25">
      <c r="A11" s="133" t="s">
        <v>300</v>
      </c>
      <c r="B11" s="113">
        <v>0</v>
      </c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>
        <f>SUM(B11:P11)</f>
        <v>0</v>
      </c>
    </row>
    <row r="12" spans="1:18" ht="14.25">
      <c r="A12" s="133" t="s">
        <v>301</v>
      </c>
      <c r="B12" s="129">
        <v>0</v>
      </c>
      <c r="C12" s="241"/>
      <c r="D12" s="241"/>
      <c r="E12" s="241"/>
      <c r="F12" s="241"/>
      <c r="G12" s="241"/>
      <c r="H12" s="241"/>
      <c r="I12" s="241"/>
      <c r="J12" s="241"/>
      <c r="K12" s="241"/>
      <c r="L12" s="241"/>
      <c r="M12" s="241"/>
      <c r="N12" s="241"/>
      <c r="O12" s="241"/>
      <c r="P12" s="241"/>
      <c r="Q12" s="241"/>
      <c r="R12" s="241">
        <f>SUM(B12:Q12)</f>
        <v>0</v>
      </c>
    </row>
    <row r="13" spans="1:18" ht="14.25">
      <c r="A13" s="133" t="s">
        <v>38</v>
      </c>
      <c r="B13" s="115">
        <f>SUM(B8:B12)</f>
        <v>0</v>
      </c>
      <c r="C13" s="103">
        <v>0</v>
      </c>
      <c r="D13" s="103">
        <v>0</v>
      </c>
      <c r="E13" s="103">
        <v>0</v>
      </c>
      <c r="F13" s="103">
        <v>0</v>
      </c>
      <c r="G13" s="103">
        <v>0</v>
      </c>
      <c r="H13" s="103">
        <v>0</v>
      </c>
      <c r="I13" s="103">
        <v>0</v>
      </c>
      <c r="J13" s="103">
        <v>0</v>
      </c>
      <c r="K13" s="103">
        <v>0</v>
      </c>
      <c r="L13" s="103">
        <v>0</v>
      </c>
      <c r="M13" s="103">
        <v>0</v>
      </c>
      <c r="N13" s="103">
        <v>0</v>
      </c>
      <c r="O13" s="103">
        <v>0</v>
      </c>
      <c r="P13" s="103">
        <v>0</v>
      </c>
      <c r="Q13" s="103"/>
      <c r="R13" s="115">
        <f>SUM(B13:Q13)</f>
        <v>0</v>
      </c>
    </row>
    <row r="14" spans="1:18" ht="15" thickBot="1">
      <c r="A14" s="134" t="s">
        <v>39</v>
      </c>
      <c r="B14" s="116">
        <v>0</v>
      </c>
      <c r="C14" s="103">
        <v>0</v>
      </c>
      <c r="D14" s="103">
        <v>0</v>
      </c>
      <c r="E14" s="103">
        <v>0</v>
      </c>
      <c r="F14" s="103">
        <v>0</v>
      </c>
      <c r="G14" s="103">
        <v>0</v>
      </c>
      <c r="H14" s="103">
        <v>0</v>
      </c>
      <c r="I14" s="103">
        <v>0</v>
      </c>
      <c r="J14" s="103">
        <v>0</v>
      </c>
      <c r="K14" s="103">
        <v>0</v>
      </c>
      <c r="L14" s="103">
        <v>0</v>
      </c>
      <c r="M14" s="103">
        <v>0</v>
      </c>
      <c r="N14" s="103">
        <v>0</v>
      </c>
      <c r="O14" s="103">
        <v>0</v>
      </c>
      <c r="P14" s="103">
        <v>0</v>
      </c>
      <c r="Q14" s="248"/>
      <c r="R14" s="116">
        <f>SUM(B14:P14)</f>
        <v>0</v>
      </c>
    </row>
    <row r="15" spans="1:18" ht="15" thickTop="1">
      <c r="A15" s="135" t="s">
        <v>302</v>
      </c>
      <c r="B15" s="117"/>
      <c r="C15" s="12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8"/>
      <c r="P15" s="117"/>
      <c r="Q15" s="117"/>
      <c r="R15" s="118"/>
    </row>
    <row r="16" spans="1:18" ht="14.25">
      <c r="A16" s="133" t="s">
        <v>303</v>
      </c>
      <c r="B16" s="119"/>
      <c r="C16" s="113">
        <v>0</v>
      </c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3"/>
      <c r="P16" s="119"/>
      <c r="Q16" s="119"/>
      <c r="R16" s="113">
        <f aca="true" t="shared" si="0" ref="R16:R23">SUM(C16:P16)</f>
        <v>0</v>
      </c>
    </row>
    <row r="17" spans="1:18" ht="14.25">
      <c r="A17" s="132" t="s">
        <v>304</v>
      </c>
      <c r="B17" s="120"/>
      <c r="C17" s="120">
        <v>0</v>
      </c>
      <c r="D17" s="120"/>
      <c r="E17" s="120">
        <v>0</v>
      </c>
      <c r="F17" s="120"/>
      <c r="G17" s="120">
        <v>0</v>
      </c>
      <c r="H17" s="120"/>
      <c r="I17" s="120"/>
      <c r="J17" s="120"/>
      <c r="K17" s="120"/>
      <c r="L17" s="120">
        <v>0</v>
      </c>
      <c r="M17" s="120"/>
      <c r="N17" s="120"/>
      <c r="O17" s="110"/>
      <c r="P17" s="120"/>
      <c r="Q17" s="120"/>
      <c r="R17" s="110">
        <f t="shared" si="0"/>
        <v>0</v>
      </c>
    </row>
    <row r="18" spans="1:18" ht="14.25">
      <c r="A18" s="133" t="s">
        <v>305</v>
      </c>
      <c r="B18" s="119"/>
      <c r="C18" s="119">
        <v>0</v>
      </c>
      <c r="D18" s="119"/>
      <c r="E18" s="119">
        <v>0</v>
      </c>
      <c r="F18" s="119"/>
      <c r="G18" s="119">
        <v>0</v>
      </c>
      <c r="H18" s="119"/>
      <c r="I18" s="119"/>
      <c r="J18" s="119"/>
      <c r="K18" s="119"/>
      <c r="L18" s="119">
        <v>0</v>
      </c>
      <c r="M18" s="119"/>
      <c r="N18" s="119"/>
      <c r="O18" s="113"/>
      <c r="P18" s="119"/>
      <c r="Q18" s="119"/>
      <c r="R18" s="113">
        <f t="shared" si="0"/>
        <v>0</v>
      </c>
    </row>
    <row r="19" spans="1:18" ht="14.25">
      <c r="A19" s="133" t="s">
        <v>306</v>
      </c>
      <c r="B19" s="119"/>
      <c r="C19" s="113">
        <v>0</v>
      </c>
      <c r="D19" s="119"/>
      <c r="E19" s="119">
        <v>0</v>
      </c>
      <c r="F19" s="119"/>
      <c r="G19" s="119"/>
      <c r="H19" s="119"/>
      <c r="I19" s="119"/>
      <c r="J19" s="119"/>
      <c r="K19" s="119"/>
      <c r="L19" s="119">
        <v>0</v>
      </c>
      <c r="M19" s="119"/>
      <c r="N19" s="119"/>
      <c r="O19" s="113"/>
      <c r="P19" s="119"/>
      <c r="Q19" s="119"/>
      <c r="R19" s="113">
        <f t="shared" si="0"/>
        <v>0</v>
      </c>
    </row>
    <row r="20" spans="1:18" ht="14.25">
      <c r="A20" s="132" t="s">
        <v>307</v>
      </c>
      <c r="B20" s="120"/>
      <c r="C20" s="120">
        <v>0</v>
      </c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10"/>
      <c r="P20" s="120"/>
      <c r="Q20" s="120"/>
      <c r="R20" s="110">
        <f t="shared" si="0"/>
        <v>0</v>
      </c>
    </row>
    <row r="21" spans="1:18" ht="14.25">
      <c r="A21" s="133" t="s">
        <v>308</v>
      </c>
      <c r="B21" s="119"/>
      <c r="C21" s="113">
        <v>0</v>
      </c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3"/>
      <c r="P21" s="119"/>
      <c r="Q21" s="119"/>
      <c r="R21" s="113">
        <f t="shared" si="0"/>
        <v>0</v>
      </c>
    </row>
    <row r="22" spans="1:18" ht="14.25">
      <c r="A22" s="133" t="s">
        <v>38</v>
      </c>
      <c r="B22" s="103"/>
      <c r="C22" s="122">
        <v>0</v>
      </c>
      <c r="D22" s="103">
        <v>0</v>
      </c>
      <c r="E22" s="103">
        <v>0</v>
      </c>
      <c r="F22" s="103">
        <v>0</v>
      </c>
      <c r="G22" s="103">
        <v>0</v>
      </c>
      <c r="H22" s="103">
        <v>0</v>
      </c>
      <c r="I22" s="103">
        <v>0</v>
      </c>
      <c r="J22" s="103">
        <v>0</v>
      </c>
      <c r="K22" s="103">
        <v>0</v>
      </c>
      <c r="L22" s="103">
        <v>0</v>
      </c>
      <c r="M22" s="103">
        <v>0</v>
      </c>
      <c r="N22" s="103">
        <v>0</v>
      </c>
      <c r="O22" s="103">
        <v>0</v>
      </c>
      <c r="P22" s="103">
        <v>0</v>
      </c>
      <c r="Q22" s="103"/>
      <c r="R22" s="115">
        <f t="shared" si="0"/>
        <v>0</v>
      </c>
    </row>
    <row r="23" spans="1:18" ht="15" thickBot="1">
      <c r="A23" s="134" t="s">
        <v>39</v>
      </c>
      <c r="B23" s="136"/>
      <c r="C23" s="123">
        <v>0</v>
      </c>
      <c r="D23" s="136">
        <v>0</v>
      </c>
      <c r="E23" s="136">
        <v>0</v>
      </c>
      <c r="F23" s="136">
        <v>0</v>
      </c>
      <c r="G23" s="136">
        <v>0</v>
      </c>
      <c r="H23" s="136">
        <v>0</v>
      </c>
      <c r="I23" s="136">
        <v>0</v>
      </c>
      <c r="J23" s="136">
        <v>0</v>
      </c>
      <c r="K23" s="136">
        <v>0</v>
      </c>
      <c r="L23" s="136">
        <v>0</v>
      </c>
      <c r="M23" s="136">
        <v>0</v>
      </c>
      <c r="N23" s="136">
        <v>0</v>
      </c>
      <c r="O23" s="136">
        <v>0</v>
      </c>
      <c r="P23" s="136">
        <v>0</v>
      </c>
      <c r="Q23" s="136"/>
      <c r="R23" s="116">
        <f t="shared" si="0"/>
        <v>0</v>
      </c>
    </row>
    <row r="24" spans="1:18" ht="15" thickTop="1">
      <c r="A24" s="132" t="s">
        <v>309</v>
      </c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6"/>
      <c r="P24" s="120"/>
      <c r="Q24" s="120"/>
      <c r="R24" s="110"/>
    </row>
    <row r="25" spans="1:18" ht="14.25">
      <c r="A25" s="133" t="s">
        <v>310</v>
      </c>
      <c r="B25" s="119"/>
      <c r="C25" s="119">
        <v>0</v>
      </c>
      <c r="D25" s="119"/>
      <c r="E25" s="119">
        <v>0</v>
      </c>
      <c r="F25" s="119"/>
      <c r="G25" s="119">
        <v>0</v>
      </c>
      <c r="H25" s="119"/>
      <c r="I25" s="119"/>
      <c r="J25" s="119"/>
      <c r="K25" s="119"/>
      <c r="L25" s="119">
        <v>0</v>
      </c>
      <c r="M25" s="119"/>
      <c r="N25" s="119"/>
      <c r="O25" s="113"/>
      <c r="P25" s="119"/>
      <c r="Q25" s="119"/>
      <c r="R25" s="113">
        <f>SUM(C25:P25)</f>
        <v>0</v>
      </c>
    </row>
    <row r="26" spans="1:18" ht="14.25">
      <c r="A26" s="133" t="s">
        <v>311</v>
      </c>
      <c r="B26" s="119"/>
      <c r="C26" s="119">
        <v>0</v>
      </c>
      <c r="D26" s="119"/>
      <c r="E26" s="119">
        <v>0</v>
      </c>
      <c r="F26" s="119"/>
      <c r="G26" s="119">
        <v>0</v>
      </c>
      <c r="H26" s="119"/>
      <c r="I26" s="119"/>
      <c r="J26" s="119"/>
      <c r="K26" s="119"/>
      <c r="L26" s="119">
        <v>0</v>
      </c>
      <c r="M26" s="119"/>
      <c r="N26" s="119"/>
      <c r="O26" s="113"/>
      <c r="P26" s="119"/>
      <c r="Q26" s="119"/>
      <c r="R26" s="113">
        <f>SUM(C26:P26)</f>
        <v>0</v>
      </c>
    </row>
    <row r="27" spans="1:18" ht="14.25">
      <c r="A27" s="132" t="s">
        <v>312</v>
      </c>
      <c r="B27" s="120"/>
      <c r="C27" s="120">
        <v>0</v>
      </c>
      <c r="D27" s="120"/>
      <c r="E27" s="120">
        <v>0</v>
      </c>
      <c r="F27" s="120"/>
      <c r="G27" s="120"/>
      <c r="H27" s="120"/>
      <c r="I27" s="120"/>
      <c r="J27" s="120"/>
      <c r="K27" s="120"/>
      <c r="L27" s="120">
        <v>0</v>
      </c>
      <c r="M27" s="120"/>
      <c r="N27" s="120"/>
      <c r="O27" s="110"/>
      <c r="P27" s="120"/>
      <c r="Q27" s="120"/>
      <c r="R27" s="110">
        <f>SUM(C27:P27)</f>
        <v>0</v>
      </c>
    </row>
    <row r="28" spans="1:18" ht="14.25">
      <c r="A28" s="133" t="s">
        <v>38</v>
      </c>
      <c r="B28" s="103"/>
      <c r="C28" s="122">
        <f>SUM(C25:C27)</f>
        <v>0</v>
      </c>
      <c r="D28" s="103">
        <v>0</v>
      </c>
      <c r="E28" s="103">
        <v>0</v>
      </c>
      <c r="F28" s="103">
        <v>0</v>
      </c>
      <c r="G28" s="103">
        <f>SUM(G26)</f>
        <v>0</v>
      </c>
      <c r="H28" s="103">
        <v>0</v>
      </c>
      <c r="I28" s="103">
        <v>0</v>
      </c>
      <c r="J28" s="103">
        <v>0</v>
      </c>
      <c r="K28" s="103">
        <v>0</v>
      </c>
      <c r="L28" s="103">
        <v>0</v>
      </c>
      <c r="M28" s="103">
        <v>0</v>
      </c>
      <c r="N28" s="103">
        <v>0</v>
      </c>
      <c r="O28" s="103">
        <v>0</v>
      </c>
      <c r="P28" s="103">
        <v>0</v>
      </c>
      <c r="Q28" s="103"/>
      <c r="R28" s="103">
        <f>SUM(C28:P28)</f>
        <v>0</v>
      </c>
    </row>
    <row r="29" spans="1:18" ht="15" thickBot="1">
      <c r="A29" s="134" t="s">
        <v>39</v>
      </c>
      <c r="B29" s="136"/>
      <c r="C29" s="123">
        <f>C28</f>
        <v>0</v>
      </c>
      <c r="D29" s="136">
        <v>0</v>
      </c>
      <c r="E29" s="136">
        <v>0</v>
      </c>
      <c r="F29" s="136">
        <v>0</v>
      </c>
      <c r="G29" s="136">
        <v>0</v>
      </c>
      <c r="H29" s="136">
        <v>0</v>
      </c>
      <c r="I29" s="136">
        <v>0</v>
      </c>
      <c r="J29" s="136">
        <v>0</v>
      </c>
      <c r="K29" s="136">
        <v>0</v>
      </c>
      <c r="L29" s="136">
        <v>0</v>
      </c>
      <c r="M29" s="136">
        <v>0</v>
      </c>
      <c r="N29" s="136">
        <v>0</v>
      </c>
      <c r="O29" s="136">
        <v>0</v>
      </c>
      <c r="P29" s="136">
        <v>0</v>
      </c>
      <c r="Q29" s="136"/>
      <c r="R29" s="136">
        <f>SUM(C29:P29)</f>
        <v>0</v>
      </c>
    </row>
    <row r="30" spans="1:18" ht="15" thickTop="1">
      <c r="A30" s="132" t="s">
        <v>309</v>
      </c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10"/>
      <c r="P30" s="120"/>
      <c r="Q30" s="120"/>
      <c r="R30" s="127"/>
    </row>
    <row r="31" spans="1:18" ht="14.25">
      <c r="A31" s="133" t="s">
        <v>313</v>
      </c>
      <c r="B31" s="119"/>
      <c r="C31" s="119">
        <v>0</v>
      </c>
      <c r="D31" s="119"/>
      <c r="E31" s="119">
        <v>0</v>
      </c>
      <c r="F31" s="119"/>
      <c r="G31" s="119">
        <v>0</v>
      </c>
      <c r="H31" s="119"/>
      <c r="I31" s="119">
        <v>0</v>
      </c>
      <c r="J31" s="119"/>
      <c r="K31" s="119"/>
      <c r="L31" s="119">
        <v>0</v>
      </c>
      <c r="M31" s="119"/>
      <c r="N31" s="119"/>
      <c r="O31" s="113"/>
      <c r="P31" s="119"/>
      <c r="Q31" s="119"/>
      <c r="R31" s="113">
        <f>SUM(C31:P31)</f>
        <v>0</v>
      </c>
    </row>
    <row r="32" spans="1:18" ht="14.25">
      <c r="A32" s="132" t="s">
        <v>314</v>
      </c>
      <c r="B32" s="121"/>
      <c r="C32" s="120">
        <v>0</v>
      </c>
      <c r="D32" s="120"/>
      <c r="E32" s="120">
        <v>0</v>
      </c>
      <c r="F32" s="120"/>
      <c r="G32" s="120">
        <v>0</v>
      </c>
      <c r="H32" s="120"/>
      <c r="I32" s="120">
        <v>0</v>
      </c>
      <c r="J32" s="120"/>
      <c r="K32" s="120"/>
      <c r="L32" s="120">
        <v>0</v>
      </c>
      <c r="M32" s="120"/>
      <c r="N32" s="120"/>
      <c r="O32" s="110"/>
      <c r="P32" s="120"/>
      <c r="Q32" s="120"/>
      <c r="R32" s="110">
        <f>SUM(C32:P32)</f>
        <v>0</v>
      </c>
    </row>
    <row r="33" spans="1:18" ht="14.25">
      <c r="A33" s="133" t="s">
        <v>38</v>
      </c>
      <c r="B33" s="103"/>
      <c r="C33" s="122">
        <v>0</v>
      </c>
      <c r="D33" s="103">
        <v>0</v>
      </c>
      <c r="E33" s="103">
        <v>0</v>
      </c>
      <c r="F33" s="103">
        <v>0</v>
      </c>
      <c r="G33" s="103">
        <v>0</v>
      </c>
      <c r="H33" s="103">
        <v>0</v>
      </c>
      <c r="I33" s="103">
        <v>0</v>
      </c>
      <c r="J33" s="103">
        <v>0</v>
      </c>
      <c r="K33" s="103">
        <v>0</v>
      </c>
      <c r="L33" s="103">
        <v>0</v>
      </c>
      <c r="M33" s="103">
        <v>0</v>
      </c>
      <c r="N33" s="103">
        <v>0</v>
      </c>
      <c r="O33" s="103">
        <v>0</v>
      </c>
      <c r="P33" s="103">
        <v>0</v>
      </c>
      <c r="Q33" s="103"/>
      <c r="R33" s="115">
        <f>SUM(C33:P33)</f>
        <v>0</v>
      </c>
    </row>
    <row r="34" spans="1:18" ht="15" thickBot="1">
      <c r="A34" s="134" t="s">
        <v>39</v>
      </c>
      <c r="B34" s="136"/>
      <c r="C34" s="116">
        <v>0</v>
      </c>
      <c r="D34" s="136">
        <v>0</v>
      </c>
      <c r="E34" s="136">
        <v>0</v>
      </c>
      <c r="F34" s="136">
        <v>0</v>
      </c>
      <c r="G34" s="136">
        <v>0</v>
      </c>
      <c r="H34" s="136">
        <v>0</v>
      </c>
      <c r="I34" s="136">
        <v>0</v>
      </c>
      <c r="J34" s="136">
        <v>0</v>
      </c>
      <c r="K34" s="136">
        <v>0</v>
      </c>
      <c r="L34" s="136">
        <v>0</v>
      </c>
      <c r="M34" s="136">
        <v>0</v>
      </c>
      <c r="N34" s="136">
        <v>0</v>
      </c>
      <c r="O34" s="136">
        <v>0</v>
      </c>
      <c r="P34" s="136">
        <v>0</v>
      </c>
      <c r="Q34" s="136"/>
      <c r="R34" s="116">
        <f>SUM(C34:P34)</f>
        <v>0</v>
      </c>
    </row>
    <row r="35" ht="15" thickTop="1">
      <c r="C35" s="240"/>
    </row>
    <row r="41" spans="1:18" s="107" customFormat="1" ht="14.25">
      <c r="A41" s="108" t="s">
        <v>125</v>
      </c>
      <c r="B41" s="323" t="s">
        <v>101</v>
      </c>
      <c r="C41" s="324" t="s">
        <v>102</v>
      </c>
      <c r="D41" s="324"/>
      <c r="E41" s="324"/>
      <c r="F41" s="130" t="s">
        <v>103</v>
      </c>
      <c r="G41" s="324" t="s">
        <v>104</v>
      </c>
      <c r="H41" s="324"/>
      <c r="I41" s="324" t="s">
        <v>105</v>
      </c>
      <c r="J41" s="324"/>
      <c r="K41" s="130" t="s">
        <v>106</v>
      </c>
      <c r="L41" s="324" t="s">
        <v>107</v>
      </c>
      <c r="M41" s="324"/>
      <c r="N41" s="324" t="s">
        <v>108</v>
      </c>
      <c r="O41" s="324"/>
      <c r="P41" s="327" t="s">
        <v>123</v>
      </c>
      <c r="Q41" s="328"/>
      <c r="R41" s="329" t="s">
        <v>20</v>
      </c>
    </row>
    <row r="42" spans="1:18" s="107" customFormat="1" ht="14.25">
      <c r="A42" s="109" t="s">
        <v>126</v>
      </c>
      <c r="B42" s="323"/>
      <c r="C42" s="130" t="s">
        <v>109</v>
      </c>
      <c r="D42" s="130" t="s">
        <v>121</v>
      </c>
      <c r="E42" s="130" t="s">
        <v>110</v>
      </c>
      <c r="F42" s="130" t="s">
        <v>111</v>
      </c>
      <c r="G42" s="130" t="s">
        <v>112</v>
      </c>
      <c r="H42" s="130" t="s">
        <v>113</v>
      </c>
      <c r="I42" s="130" t="s">
        <v>114</v>
      </c>
      <c r="J42" s="130" t="s">
        <v>115</v>
      </c>
      <c r="K42" s="130" t="s">
        <v>122</v>
      </c>
      <c r="L42" s="130" t="s">
        <v>116</v>
      </c>
      <c r="M42" s="130" t="s">
        <v>117</v>
      </c>
      <c r="N42" s="130" t="s">
        <v>118</v>
      </c>
      <c r="O42" s="130" t="s">
        <v>119</v>
      </c>
      <c r="P42" s="130" t="s">
        <v>367</v>
      </c>
      <c r="Q42" s="250" t="s">
        <v>124</v>
      </c>
      <c r="R42" s="330"/>
    </row>
    <row r="43" spans="1:18" ht="14.25">
      <c r="A43" s="135" t="s">
        <v>309</v>
      </c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</row>
    <row r="44" spans="1:18" ht="14.25">
      <c r="A44" s="133" t="s">
        <v>316</v>
      </c>
      <c r="B44" s="113"/>
      <c r="C44" s="113">
        <v>0</v>
      </c>
      <c r="D44" s="113"/>
      <c r="E44" s="113">
        <v>0</v>
      </c>
      <c r="F44" s="113"/>
      <c r="G44" s="113">
        <v>0</v>
      </c>
      <c r="H44" s="113"/>
      <c r="I44" s="113">
        <v>0</v>
      </c>
      <c r="J44" s="113"/>
      <c r="K44" s="113"/>
      <c r="L44" s="113">
        <v>0</v>
      </c>
      <c r="M44" s="113"/>
      <c r="N44" s="113"/>
      <c r="O44" s="113"/>
      <c r="P44" s="113"/>
      <c r="Q44" s="113"/>
      <c r="R44" s="113">
        <f>SUM(C44:P44)</f>
        <v>0</v>
      </c>
    </row>
    <row r="45" spans="1:18" ht="14.25">
      <c r="A45" s="137" t="s">
        <v>317</v>
      </c>
      <c r="B45" s="110"/>
      <c r="C45" s="110">
        <v>0</v>
      </c>
      <c r="D45" s="110"/>
      <c r="E45" s="110">
        <v>0</v>
      </c>
      <c r="F45" s="110"/>
      <c r="G45" s="110">
        <v>0</v>
      </c>
      <c r="H45" s="110"/>
      <c r="I45" s="110">
        <v>0</v>
      </c>
      <c r="J45" s="110"/>
      <c r="K45" s="110"/>
      <c r="L45" s="110">
        <v>0</v>
      </c>
      <c r="M45" s="110"/>
      <c r="N45" s="110"/>
      <c r="O45" s="110"/>
      <c r="P45" s="110"/>
      <c r="Q45" s="110"/>
      <c r="R45" s="110">
        <f>SUM(C45:P45)</f>
        <v>0</v>
      </c>
    </row>
    <row r="46" spans="1:18" ht="14.25">
      <c r="A46" s="133" t="s">
        <v>38</v>
      </c>
      <c r="B46" s="103"/>
      <c r="C46" s="115">
        <v>0</v>
      </c>
      <c r="D46" s="103">
        <v>0</v>
      </c>
      <c r="E46" s="103">
        <v>0</v>
      </c>
      <c r="F46" s="103">
        <v>0</v>
      </c>
      <c r="G46" s="103">
        <v>0</v>
      </c>
      <c r="H46" s="103">
        <v>0</v>
      </c>
      <c r="I46" s="103">
        <v>0</v>
      </c>
      <c r="J46" s="103">
        <v>0</v>
      </c>
      <c r="K46" s="103">
        <v>0</v>
      </c>
      <c r="L46" s="103">
        <v>0</v>
      </c>
      <c r="M46" s="103">
        <v>0</v>
      </c>
      <c r="N46" s="103">
        <v>0</v>
      </c>
      <c r="O46" s="103">
        <v>0</v>
      </c>
      <c r="P46" s="103">
        <v>0</v>
      </c>
      <c r="Q46" s="103"/>
      <c r="R46" s="103">
        <f>SUM(C46:P46)</f>
        <v>0</v>
      </c>
    </row>
    <row r="47" spans="1:18" ht="15" thickBot="1">
      <c r="A47" s="134" t="s">
        <v>39</v>
      </c>
      <c r="B47" s="136"/>
      <c r="C47" s="116">
        <v>0</v>
      </c>
      <c r="D47" s="103">
        <v>0</v>
      </c>
      <c r="E47" s="103">
        <v>0</v>
      </c>
      <c r="F47" s="103">
        <v>0</v>
      </c>
      <c r="G47" s="103">
        <v>0</v>
      </c>
      <c r="H47" s="103">
        <v>0</v>
      </c>
      <c r="I47" s="103">
        <v>0</v>
      </c>
      <c r="J47" s="103">
        <v>0</v>
      </c>
      <c r="K47" s="103">
        <v>0</v>
      </c>
      <c r="L47" s="103">
        <v>0</v>
      </c>
      <c r="M47" s="103">
        <v>0</v>
      </c>
      <c r="N47" s="103">
        <v>0</v>
      </c>
      <c r="O47" s="103">
        <v>0</v>
      </c>
      <c r="P47" s="103">
        <v>0</v>
      </c>
      <c r="Q47" s="103"/>
      <c r="R47" s="103">
        <f>SUM(C47:P47)</f>
        <v>0</v>
      </c>
    </row>
    <row r="48" spans="1:18" ht="15" thickTop="1">
      <c r="A48" s="135" t="s">
        <v>318</v>
      </c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8"/>
      <c r="P48" s="117"/>
      <c r="Q48" s="117"/>
      <c r="R48" s="118"/>
    </row>
    <row r="49" spans="1:18" ht="14.25">
      <c r="A49" s="133" t="s">
        <v>319</v>
      </c>
      <c r="B49" s="119"/>
      <c r="C49" s="119">
        <v>0</v>
      </c>
      <c r="D49" s="119"/>
      <c r="E49" s="119"/>
      <c r="F49" s="119"/>
      <c r="G49" s="119"/>
      <c r="H49" s="119"/>
      <c r="I49" s="119"/>
      <c r="J49" s="119"/>
      <c r="K49" s="119"/>
      <c r="L49" s="119"/>
      <c r="M49" s="119">
        <v>0</v>
      </c>
      <c r="N49" s="119"/>
      <c r="O49" s="113"/>
      <c r="P49" s="119"/>
      <c r="Q49" s="119"/>
      <c r="R49" s="113">
        <f aca="true" t="shared" si="1" ref="R49:R55">SUM(C49:P49)</f>
        <v>0</v>
      </c>
    </row>
    <row r="50" spans="1:18" ht="14.25">
      <c r="A50" s="132" t="s">
        <v>320</v>
      </c>
      <c r="B50" s="120"/>
      <c r="C50" s="120">
        <v>0</v>
      </c>
      <c r="D50" s="120"/>
      <c r="E50" s="120">
        <v>0</v>
      </c>
      <c r="F50" s="120"/>
      <c r="G50" s="120"/>
      <c r="H50" s="120"/>
      <c r="I50" s="120"/>
      <c r="J50" s="120"/>
      <c r="K50" s="120"/>
      <c r="L50" s="120"/>
      <c r="M50" s="120"/>
      <c r="N50" s="120"/>
      <c r="O50" s="110"/>
      <c r="P50" s="120"/>
      <c r="Q50" s="120"/>
      <c r="R50" s="110">
        <f t="shared" si="1"/>
        <v>0</v>
      </c>
    </row>
    <row r="51" spans="1:18" ht="14.25">
      <c r="A51" s="133" t="s">
        <v>321</v>
      </c>
      <c r="B51" s="119"/>
      <c r="C51" s="119">
        <v>0</v>
      </c>
      <c r="D51" s="119"/>
      <c r="E51" s="119">
        <v>0</v>
      </c>
      <c r="F51" s="119"/>
      <c r="G51" s="119">
        <v>0</v>
      </c>
      <c r="H51" s="119"/>
      <c r="I51" s="119"/>
      <c r="J51" s="119"/>
      <c r="K51" s="119"/>
      <c r="L51" s="119">
        <v>0</v>
      </c>
      <c r="M51" s="119"/>
      <c r="N51" s="119"/>
      <c r="O51" s="113"/>
      <c r="P51" s="119"/>
      <c r="Q51" s="119"/>
      <c r="R51" s="113">
        <f t="shared" si="1"/>
        <v>0</v>
      </c>
    </row>
    <row r="52" spans="1:18" ht="14.25">
      <c r="A52" s="133" t="s">
        <v>322</v>
      </c>
      <c r="B52" s="119"/>
      <c r="C52" s="119">
        <v>0</v>
      </c>
      <c r="D52" s="119"/>
      <c r="E52" s="119"/>
      <c r="F52" s="119">
        <v>0</v>
      </c>
      <c r="G52" s="119">
        <v>0</v>
      </c>
      <c r="H52" s="119"/>
      <c r="I52" s="119"/>
      <c r="J52" s="119"/>
      <c r="K52" s="119"/>
      <c r="L52" s="119"/>
      <c r="M52" s="119"/>
      <c r="N52" s="243"/>
      <c r="O52" s="113"/>
      <c r="P52" s="119"/>
      <c r="Q52" s="119"/>
      <c r="R52" s="113">
        <f t="shared" si="1"/>
        <v>0</v>
      </c>
    </row>
    <row r="53" spans="1:18" ht="14.25">
      <c r="A53" s="169" t="s">
        <v>323</v>
      </c>
      <c r="B53" s="121"/>
      <c r="C53" s="121">
        <v>0</v>
      </c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244"/>
      <c r="O53" s="114"/>
      <c r="P53" s="121"/>
      <c r="Q53" s="121"/>
      <c r="R53" s="129">
        <f>SUM(C53:Q53)</f>
        <v>0</v>
      </c>
    </row>
    <row r="54" spans="1:18" ht="14.25">
      <c r="A54" s="133" t="s">
        <v>38</v>
      </c>
      <c r="B54" s="103"/>
      <c r="C54" s="122">
        <f>SUM(C49:C53)</f>
        <v>0</v>
      </c>
      <c r="D54" s="103">
        <v>0</v>
      </c>
      <c r="E54" s="103">
        <v>0</v>
      </c>
      <c r="F54" s="103">
        <v>0</v>
      </c>
      <c r="G54" s="103">
        <v>0</v>
      </c>
      <c r="H54" s="103">
        <v>0</v>
      </c>
      <c r="I54" s="103">
        <v>0</v>
      </c>
      <c r="J54" s="103">
        <v>0</v>
      </c>
      <c r="K54" s="103">
        <v>0</v>
      </c>
      <c r="L54" s="103">
        <v>0</v>
      </c>
      <c r="M54" s="103">
        <f>SUM(M49:M52)</f>
        <v>0</v>
      </c>
      <c r="N54" s="103">
        <v>0</v>
      </c>
      <c r="O54" s="103">
        <v>0</v>
      </c>
      <c r="P54" s="103">
        <v>0</v>
      </c>
      <c r="Q54" s="103"/>
      <c r="R54" s="115">
        <f t="shared" si="1"/>
        <v>0</v>
      </c>
    </row>
    <row r="55" spans="1:18" ht="15" thickBot="1">
      <c r="A55" s="134" t="s">
        <v>39</v>
      </c>
      <c r="B55" s="136"/>
      <c r="C55" s="123">
        <v>0</v>
      </c>
      <c r="D55" s="136">
        <v>0</v>
      </c>
      <c r="E55" s="136">
        <v>0</v>
      </c>
      <c r="F55" s="136">
        <v>0</v>
      </c>
      <c r="G55" s="136">
        <v>0</v>
      </c>
      <c r="H55" s="136">
        <v>0</v>
      </c>
      <c r="I55" s="136">
        <v>0</v>
      </c>
      <c r="J55" s="136">
        <v>0</v>
      </c>
      <c r="K55" s="136">
        <v>0</v>
      </c>
      <c r="L55" s="136">
        <v>0</v>
      </c>
      <c r="M55" s="136">
        <v>0</v>
      </c>
      <c r="N55" s="136">
        <v>0</v>
      </c>
      <c r="O55" s="103">
        <v>0</v>
      </c>
      <c r="P55" s="136">
        <v>0</v>
      </c>
      <c r="Q55" s="136"/>
      <c r="R55" s="116">
        <f t="shared" si="1"/>
        <v>0</v>
      </c>
    </row>
    <row r="56" spans="1:18" ht="15" thickTop="1">
      <c r="A56" s="137" t="s">
        <v>324</v>
      </c>
      <c r="B56" s="125"/>
      <c r="C56" s="125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6"/>
      <c r="O56" s="127"/>
      <c r="P56" s="126"/>
      <c r="Q56" s="126"/>
      <c r="R56" s="127"/>
    </row>
    <row r="57" spans="1:18" ht="14.25">
      <c r="A57" s="137" t="s">
        <v>325</v>
      </c>
      <c r="B57" s="125"/>
      <c r="C57" s="125">
        <v>0</v>
      </c>
      <c r="D57" s="125"/>
      <c r="E57" s="125">
        <v>0</v>
      </c>
      <c r="F57" s="125"/>
      <c r="G57" s="125"/>
      <c r="H57" s="125"/>
      <c r="I57" s="125"/>
      <c r="J57" s="125"/>
      <c r="K57" s="125"/>
      <c r="L57" s="125">
        <v>0</v>
      </c>
      <c r="M57" s="125"/>
      <c r="N57" s="125"/>
      <c r="O57" s="126"/>
      <c r="P57" s="125"/>
      <c r="Q57" s="125"/>
      <c r="R57" s="126">
        <f>SUM(C57:P57)</f>
        <v>0</v>
      </c>
    </row>
    <row r="58" spans="1:18" ht="14.25">
      <c r="A58" s="133" t="s">
        <v>326</v>
      </c>
      <c r="B58" s="119"/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3"/>
      <c r="P58" s="119"/>
      <c r="Q58" s="119"/>
      <c r="R58" s="113"/>
    </row>
    <row r="59" spans="1:18" ht="14.25">
      <c r="A59" s="137" t="s">
        <v>327</v>
      </c>
      <c r="B59" s="119"/>
      <c r="C59" s="119">
        <v>0</v>
      </c>
      <c r="D59" s="119"/>
      <c r="E59" s="119">
        <v>0</v>
      </c>
      <c r="F59" s="119"/>
      <c r="G59" s="119"/>
      <c r="H59" s="119">
        <v>0</v>
      </c>
      <c r="I59" s="119"/>
      <c r="J59" s="119"/>
      <c r="K59" s="119"/>
      <c r="L59" s="119"/>
      <c r="M59" s="119"/>
      <c r="N59" s="119"/>
      <c r="O59" s="113">
        <v>0</v>
      </c>
      <c r="P59" s="119"/>
      <c r="Q59" s="119"/>
      <c r="R59" s="113">
        <f>SUM(C59:P59)</f>
        <v>0</v>
      </c>
    </row>
    <row r="60" spans="1:18" ht="14.25">
      <c r="A60" s="137" t="s">
        <v>328</v>
      </c>
      <c r="B60" s="119"/>
      <c r="C60" s="119">
        <v>0</v>
      </c>
      <c r="D60" s="119"/>
      <c r="E60" s="119">
        <v>0</v>
      </c>
      <c r="F60" s="119"/>
      <c r="G60" s="119"/>
      <c r="H60" s="119"/>
      <c r="I60" s="119"/>
      <c r="J60" s="119"/>
      <c r="K60" s="119"/>
      <c r="L60" s="119"/>
      <c r="M60" s="119"/>
      <c r="N60" s="119"/>
      <c r="O60" s="113"/>
      <c r="P60" s="119"/>
      <c r="Q60" s="119"/>
      <c r="R60" s="113">
        <f>SUM(C60:Q60)</f>
        <v>0</v>
      </c>
    </row>
    <row r="61" spans="1:18" ht="14.25">
      <c r="A61" s="133" t="s">
        <v>38</v>
      </c>
      <c r="B61" s="103"/>
      <c r="C61" s="122">
        <f>SUM(C59:C60)</f>
        <v>0</v>
      </c>
      <c r="D61" s="103">
        <v>0</v>
      </c>
      <c r="E61" s="103">
        <v>0</v>
      </c>
      <c r="F61" s="103">
        <v>0</v>
      </c>
      <c r="G61" s="103">
        <v>0</v>
      </c>
      <c r="H61" s="103">
        <f>SUM(H57:H60)</f>
        <v>0</v>
      </c>
      <c r="I61" s="103">
        <v>0</v>
      </c>
      <c r="J61" s="103">
        <v>0</v>
      </c>
      <c r="K61" s="103">
        <v>0</v>
      </c>
      <c r="L61" s="103">
        <v>0</v>
      </c>
      <c r="M61" s="103">
        <v>0</v>
      </c>
      <c r="N61" s="103">
        <v>0</v>
      </c>
      <c r="O61" s="103">
        <v>0</v>
      </c>
      <c r="P61" s="103">
        <v>0</v>
      </c>
      <c r="Q61" s="103"/>
      <c r="R61" s="115">
        <f>SUM(C61:P61)</f>
        <v>0</v>
      </c>
    </row>
    <row r="62" spans="1:18" ht="15" thickBot="1">
      <c r="A62" s="134" t="s">
        <v>39</v>
      </c>
      <c r="B62" s="136"/>
      <c r="C62" s="123">
        <f>SUM(C61)</f>
        <v>0</v>
      </c>
      <c r="D62" s="136">
        <v>0</v>
      </c>
      <c r="E62" s="136">
        <v>0</v>
      </c>
      <c r="F62" s="136">
        <v>0</v>
      </c>
      <c r="G62" s="136">
        <v>0</v>
      </c>
      <c r="H62" s="136">
        <v>0</v>
      </c>
      <c r="I62" s="136">
        <v>0</v>
      </c>
      <c r="J62" s="136">
        <v>0</v>
      </c>
      <c r="K62" s="136">
        <v>0</v>
      </c>
      <c r="L62" s="136">
        <v>0</v>
      </c>
      <c r="M62" s="136">
        <v>0</v>
      </c>
      <c r="N62" s="136">
        <v>0</v>
      </c>
      <c r="O62" s="136">
        <v>0</v>
      </c>
      <c r="P62" s="136">
        <v>0</v>
      </c>
      <c r="Q62" s="136"/>
      <c r="R62" s="116">
        <f>SUM(C62:P62)</f>
        <v>0</v>
      </c>
    </row>
    <row r="63" spans="1:18" ht="15" thickTop="1">
      <c r="A63" s="137" t="s">
        <v>329</v>
      </c>
      <c r="B63" s="125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6"/>
      <c r="O63" s="127"/>
      <c r="P63" s="126"/>
      <c r="Q63" s="126"/>
      <c r="R63" s="127"/>
    </row>
    <row r="64" spans="1:18" ht="14.25">
      <c r="A64" s="137" t="s">
        <v>330</v>
      </c>
      <c r="B64" s="125"/>
      <c r="C64" s="125"/>
      <c r="D64" s="125"/>
      <c r="E64" s="125">
        <v>0</v>
      </c>
      <c r="F64" s="125"/>
      <c r="G64" s="125"/>
      <c r="H64" s="125"/>
      <c r="I64" s="125"/>
      <c r="J64" s="125"/>
      <c r="K64" s="125"/>
      <c r="L64" s="125"/>
      <c r="M64" s="125"/>
      <c r="N64" s="125"/>
      <c r="O64" s="126"/>
      <c r="P64" s="125"/>
      <c r="Q64" s="125"/>
      <c r="R64" s="126">
        <f>SUM(C64:P64)</f>
        <v>0</v>
      </c>
    </row>
    <row r="65" spans="1:18" ht="14.25">
      <c r="A65" s="133" t="s">
        <v>331</v>
      </c>
      <c r="B65" s="119"/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3"/>
      <c r="P65" s="119"/>
      <c r="Q65" s="119"/>
      <c r="R65" s="113"/>
    </row>
    <row r="66" spans="1:18" ht="14.25">
      <c r="A66" s="137" t="s">
        <v>332</v>
      </c>
      <c r="B66" s="119"/>
      <c r="C66" s="119"/>
      <c r="D66" s="119"/>
      <c r="E66" s="119">
        <v>0</v>
      </c>
      <c r="F66" s="119"/>
      <c r="G66" s="119"/>
      <c r="H66" s="119">
        <v>0</v>
      </c>
      <c r="I66" s="119"/>
      <c r="J66" s="119"/>
      <c r="K66" s="119"/>
      <c r="L66" s="119"/>
      <c r="M66" s="119"/>
      <c r="N66" s="119"/>
      <c r="O66" s="113"/>
      <c r="P66" s="119"/>
      <c r="Q66" s="119"/>
      <c r="R66" s="113">
        <f>SUM(C66:P66)</f>
        <v>0</v>
      </c>
    </row>
    <row r="67" spans="1:18" ht="14.25">
      <c r="A67" s="137" t="s">
        <v>333</v>
      </c>
      <c r="B67" s="119"/>
      <c r="C67" s="119"/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N67" s="119"/>
      <c r="O67" s="113"/>
      <c r="P67" s="119"/>
      <c r="Q67" s="119"/>
      <c r="R67" s="113"/>
    </row>
    <row r="68" spans="1:18" ht="14.25">
      <c r="A68" s="137" t="s">
        <v>334</v>
      </c>
      <c r="B68" s="119"/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3"/>
      <c r="P68" s="119"/>
      <c r="Q68" s="119"/>
      <c r="R68" s="113"/>
    </row>
    <row r="69" spans="1:18" ht="14.25">
      <c r="A69" s="137" t="s">
        <v>335</v>
      </c>
      <c r="B69" s="119"/>
      <c r="C69" s="119"/>
      <c r="D69" s="119"/>
      <c r="E69" s="119"/>
      <c r="F69" s="119"/>
      <c r="G69" s="119"/>
      <c r="H69" s="119"/>
      <c r="I69" s="119"/>
      <c r="J69" s="119"/>
      <c r="K69" s="119"/>
      <c r="L69" s="119"/>
      <c r="M69" s="119"/>
      <c r="N69" s="119"/>
      <c r="O69" s="113"/>
      <c r="P69" s="119"/>
      <c r="Q69" s="119"/>
      <c r="R69" s="113"/>
    </row>
    <row r="70" spans="1:18" ht="14.25">
      <c r="A70" s="137" t="s">
        <v>336</v>
      </c>
      <c r="B70" s="119"/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3"/>
      <c r="P70" s="119"/>
      <c r="Q70" s="119"/>
      <c r="R70" s="113"/>
    </row>
    <row r="71" spans="1:18" ht="14.25">
      <c r="A71" s="137" t="s">
        <v>337</v>
      </c>
      <c r="B71" s="119"/>
      <c r="C71" s="119">
        <v>0</v>
      </c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3"/>
      <c r="P71" s="119"/>
      <c r="Q71" s="119"/>
      <c r="R71" s="113">
        <f>SUM(C71:Q71)</f>
        <v>0</v>
      </c>
    </row>
    <row r="72" spans="1:18" ht="14.25">
      <c r="A72" s="137" t="s">
        <v>338</v>
      </c>
      <c r="B72" s="119"/>
      <c r="C72" s="119"/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13"/>
      <c r="P72" s="119"/>
      <c r="Q72" s="119"/>
      <c r="R72" s="113">
        <v>0</v>
      </c>
    </row>
    <row r="73" spans="1:18" ht="14.25">
      <c r="A73" s="137" t="s">
        <v>339</v>
      </c>
      <c r="B73" s="119"/>
      <c r="C73" s="119">
        <v>0</v>
      </c>
      <c r="D73" s="119"/>
      <c r="E73" s="119">
        <v>0</v>
      </c>
      <c r="F73" s="119"/>
      <c r="G73" s="119"/>
      <c r="H73" s="119"/>
      <c r="I73" s="119"/>
      <c r="J73" s="119"/>
      <c r="K73" s="119"/>
      <c r="L73" s="119"/>
      <c r="M73" s="119"/>
      <c r="N73" s="119"/>
      <c r="O73" s="113"/>
      <c r="P73" s="119"/>
      <c r="Q73" s="119"/>
      <c r="R73" s="113">
        <f>SUM(B73:Q73)</f>
        <v>0</v>
      </c>
    </row>
    <row r="74" spans="1:18" ht="14.25">
      <c r="A74" s="137" t="s">
        <v>340</v>
      </c>
      <c r="B74" s="119"/>
      <c r="C74" s="119"/>
      <c r="D74" s="119"/>
      <c r="E74" s="119"/>
      <c r="F74" s="119"/>
      <c r="G74" s="119"/>
      <c r="H74" s="119"/>
      <c r="I74" s="119"/>
      <c r="J74" s="119"/>
      <c r="K74" s="119"/>
      <c r="L74" s="119"/>
      <c r="M74" s="119"/>
      <c r="N74" s="119"/>
      <c r="O74" s="113"/>
      <c r="P74" s="119"/>
      <c r="Q74" s="119"/>
      <c r="R74" s="113"/>
    </row>
    <row r="75" spans="1:18" ht="14.25">
      <c r="A75" s="137" t="s">
        <v>341</v>
      </c>
      <c r="B75" s="119"/>
      <c r="C75" s="119"/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3"/>
      <c r="P75" s="119"/>
      <c r="Q75" s="119"/>
      <c r="R75" s="113"/>
    </row>
    <row r="76" spans="1:18" ht="14.25">
      <c r="A76" s="133" t="s">
        <v>38</v>
      </c>
      <c r="B76" s="103"/>
      <c r="C76" s="122">
        <v>0</v>
      </c>
      <c r="D76" s="103">
        <v>0</v>
      </c>
      <c r="E76" s="103">
        <v>0</v>
      </c>
      <c r="F76" s="103">
        <v>0</v>
      </c>
      <c r="G76" s="103">
        <v>0</v>
      </c>
      <c r="H76" s="103">
        <f>SUM(H64:H75)</f>
        <v>0</v>
      </c>
      <c r="I76" s="103">
        <v>0</v>
      </c>
      <c r="J76" s="103">
        <v>0</v>
      </c>
      <c r="K76" s="103">
        <v>0</v>
      </c>
      <c r="L76" s="103">
        <f>SUM(L65:L75)</f>
        <v>0</v>
      </c>
      <c r="M76" s="103">
        <v>0</v>
      </c>
      <c r="N76" s="103">
        <v>0</v>
      </c>
      <c r="O76" s="103">
        <v>0</v>
      </c>
      <c r="P76" s="103">
        <v>0</v>
      </c>
      <c r="Q76" s="103"/>
      <c r="R76" s="115">
        <f>SUM(C76:P76)</f>
        <v>0</v>
      </c>
    </row>
    <row r="77" spans="1:18" ht="15" thickBot="1">
      <c r="A77" s="134" t="s">
        <v>39</v>
      </c>
      <c r="B77" s="136"/>
      <c r="C77" s="123">
        <v>0</v>
      </c>
      <c r="D77" s="136">
        <v>0</v>
      </c>
      <c r="E77" s="136">
        <v>0</v>
      </c>
      <c r="F77" s="136">
        <v>0</v>
      </c>
      <c r="G77" s="136">
        <v>0</v>
      </c>
      <c r="H77" s="136">
        <v>0</v>
      </c>
      <c r="I77" s="136">
        <v>0</v>
      </c>
      <c r="J77" s="136">
        <v>0</v>
      </c>
      <c r="K77" s="136">
        <v>0</v>
      </c>
      <c r="L77" s="136">
        <v>0</v>
      </c>
      <c r="M77" s="136">
        <v>0</v>
      </c>
      <c r="N77" s="136">
        <v>0</v>
      </c>
      <c r="O77" s="136">
        <v>0</v>
      </c>
      <c r="P77" s="136">
        <v>0</v>
      </c>
      <c r="Q77" s="136"/>
      <c r="R77" s="116">
        <f>SUM(C77:Q77)</f>
        <v>0</v>
      </c>
    </row>
    <row r="78" ht="15" thickTop="1"/>
    <row r="81" spans="1:18" s="107" customFormat="1" ht="13.5" customHeight="1">
      <c r="A81" s="108" t="s">
        <v>125</v>
      </c>
      <c r="B81" s="323" t="s">
        <v>101</v>
      </c>
      <c r="C81" s="324" t="s">
        <v>102</v>
      </c>
      <c r="D81" s="324"/>
      <c r="E81" s="324"/>
      <c r="F81" s="130" t="s">
        <v>103</v>
      </c>
      <c r="G81" s="324" t="s">
        <v>104</v>
      </c>
      <c r="H81" s="324"/>
      <c r="I81" s="324" t="s">
        <v>105</v>
      </c>
      <c r="J81" s="324"/>
      <c r="K81" s="130" t="s">
        <v>106</v>
      </c>
      <c r="L81" s="324" t="s">
        <v>107</v>
      </c>
      <c r="M81" s="324"/>
      <c r="N81" s="324" t="s">
        <v>108</v>
      </c>
      <c r="O81" s="324"/>
      <c r="P81" s="327" t="s">
        <v>123</v>
      </c>
      <c r="Q81" s="328"/>
      <c r="R81" s="329" t="s">
        <v>20</v>
      </c>
    </row>
    <row r="82" spans="1:18" s="107" customFormat="1" ht="13.5" customHeight="1">
      <c r="A82" s="109" t="s">
        <v>126</v>
      </c>
      <c r="B82" s="323"/>
      <c r="C82" s="130" t="s">
        <v>109</v>
      </c>
      <c r="D82" s="130" t="s">
        <v>121</v>
      </c>
      <c r="E82" s="130" t="s">
        <v>110</v>
      </c>
      <c r="F82" s="130" t="s">
        <v>111</v>
      </c>
      <c r="G82" s="130" t="s">
        <v>112</v>
      </c>
      <c r="H82" s="130" t="s">
        <v>113</v>
      </c>
      <c r="I82" s="130" t="s">
        <v>114</v>
      </c>
      <c r="J82" s="130" t="s">
        <v>115</v>
      </c>
      <c r="K82" s="130" t="s">
        <v>122</v>
      </c>
      <c r="L82" s="130" t="s">
        <v>116</v>
      </c>
      <c r="M82" s="130" t="s">
        <v>117</v>
      </c>
      <c r="N82" s="130" t="s">
        <v>118</v>
      </c>
      <c r="O82" s="130" t="s">
        <v>119</v>
      </c>
      <c r="P82" s="130" t="s">
        <v>367</v>
      </c>
      <c r="Q82" s="250" t="s">
        <v>124</v>
      </c>
      <c r="R82" s="330"/>
    </row>
    <row r="83" spans="1:18" ht="13.5" customHeight="1">
      <c r="A83" s="135" t="s">
        <v>342</v>
      </c>
      <c r="B83" s="112"/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</row>
    <row r="84" spans="1:18" ht="13.5" customHeight="1">
      <c r="A84" s="137" t="s">
        <v>343</v>
      </c>
      <c r="B84" s="110"/>
      <c r="C84" s="110">
        <v>0</v>
      </c>
      <c r="D84" s="110"/>
      <c r="E84" s="110"/>
      <c r="F84" s="110"/>
      <c r="G84" s="110">
        <v>0</v>
      </c>
      <c r="H84" s="110"/>
      <c r="I84" s="110"/>
      <c r="J84" s="110"/>
      <c r="K84" s="110"/>
      <c r="L84" s="110"/>
      <c r="M84" s="110"/>
      <c r="N84" s="110"/>
      <c r="O84" s="110"/>
      <c r="P84" s="110"/>
      <c r="Q84" s="110"/>
      <c r="R84" s="110">
        <f>SUM(C84:P84)</f>
        <v>0</v>
      </c>
    </row>
    <row r="85" spans="1:18" ht="13.5" customHeight="1">
      <c r="A85" s="133" t="s">
        <v>344</v>
      </c>
      <c r="B85" s="113"/>
      <c r="C85" s="113">
        <v>0</v>
      </c>
      <c r="D85" s="113"/>
      <c r="E85" s="113"/>
      <c r="F85" s="113"/>
      <c r="G85" s="113">
        <v>0</v>
      </c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>
        <f>SUM(C85:P85)</f>
        <v>0</v>
      </c>
    </row>
    <row r="86" spans="1:18" ht="13.5" customHeight="1">
      <c r="A86" s="133" t="s">
        <v>345</v>
      </c>
      <c r="B86" s="113"/>
      <c r="C86" s="113">
        <v>0</v>
      </c>
      <c r="D86" s="113"/>
      <c r="E86" s="113"/>
      <c r="F86" s="113"/>
      <c r="G86" s="113">
        <v>0</v>
      </c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>
        <f>SUM(C86:P86)</f>
        <v>0</v>
      </c>
    </row>
    <row r="87" spans="1:18" ht="13.5" customHeight="1">
      <c r="A87" s="132" t="s">
        <v>346</v>
      </c>
      <c r="B87" s="113"/>
      <c r="C87" s="113">
        <v>0</v>
      </c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>
        <f>SUM(C87:Q87)</f>
        <v>0</v>
      </c>
    </row>
    <row r="88" spans="1:18" ht="13.5" customHeight="1">
      <c r="A88" s="133" t="s">
        <v>347</v>
      </c>
      <c r="B88" s="114"/>
      <c r="C88" s="114">
        <v>0</v>
      </c>
      <c r="D88" s="114"/>
      <c r="E88" s="114"/>
      <c r="F88" s="114"/>
      <c r="G88" s="114">
        <v>0</v>
      </c>
      <c r="H88" s="114"/>
      <c r="I88" s="114"/>
      <c r="J88" s="114"/>
      <c r="K88" s="114"/>
      <c r="L88" s="114"/>
      <c r="M88" s="114"/>
      <c r="N88" s="114"/>
      <c r="O88" s="114"/>
      <c r="P88" s="114"/>
      <c r="Q88" s="114"/>
      <c r="R88" s="114">
        <f>SUM(C88:P88)</f>
        <v>0</v>
      </c>
    </row>
    <row r="89" spans="1:18" ht="13.5" customHeight="1">
      <c r="A89" s="133" t="s">
        <v>38</v>
      </c>
      <c r="B89" s="103"/>
      <c r="C89" s="103">
        <v>0</v>
      </c>
      <c r="D89" s="103">
        <v>0</v>
      </c>
      <c r="E89" s="103">
        <v>0</v>
      </c>
      <c r="F89" s="103">
        <v>0</v>
      </c>
      <c r="G89" s="103">
        <v>0</v>
      </c>
      <c r="H89" s="103">
        <v>0</v>
      </c>
      <c r="I89" s="103">
        <v>0</v>
      </c>
      <c r="J89" s="103">
        <v>0</v>
      </c>
      <c r="K89" s="103">
        <v>0</v>
      </c>
      <c r="L89" s="103">
        <v>0</v>
      </c>
      <c r="M89" s="103">
        <v>0</v>
      </c>
      <c r="N89" s="103">
        <v>0</v>
      </c>
      <c r="O89" s="103">
        <v>0</v>
      </c>
      <c r="P89" s="103">
        <v>0</v>
      </c>
      <c r="Q89" s="103"/>
      <c r="R89" s="115">
        <f>SUM(C89:P89)</f>
        <v>0</v>
      </c>
    </row>
    <row r="90" spans="1:18" ht="13.5" customHeight="1" thickBot="1">
      <c r="A90" s="134" t="s">
        <v>39</v>
      </c>
      <c r="B90" s="103"/>
      <c r="C90" s="103">
        <v>0</v>
      </c>
      <c r="D90" s="103">
        <v>0</v>
      </c>
      <c r="E90" s="103">
        <v>0</v>
      </c>
      <c r="F90" s="103">
        <v>0</v>
      </c>
      <c r="G90" s="103">
        <v>0</v>
      </c>
      <c r="H90" s="103">
        <v>0</v>
      </c>
      <c r="I90" s="103">
        <v>0</v>
      </c>
      <c r="J90" s="103">
        <v>0</v>
      </c>
      <c r="K90" s="103">
        <v>0</v>
      </c>
      <c r="L90" s="103">
        <v>0</v>
      </c>
      <c r="M90" s="103">
        <v>0</v>
      </c>
      <c r="N90" s="103">
        <v>0</v>
      </c>
      <c r="O90" s="103">
        <v>0</v>
      </c>
      <c r="P90" s="103">
        <v>0</v>
      </c>
      <c r="Q90" s="248"/>
      <c r="R90" s="116">
        <f>SUM(C90:P90)</f>
        <v>0</v>
      </c>
    </row>
    <row r="91" spans="1:18" ht="13.5" customHeight="1" thickTop="1">
      <c r="A91" s="135" t="s">
        <v>348</v>
      </c>
      <c r="B91" s="117"/>
      <c r="C91" s="117"/>
      <c r="D91" s="117"/>
      <c r="E91" s="117"/>
      <c r="F91" s="117"/>
      <c r="G91" s="117"/>
      <c r="H91" s="117"/>
      <c r="I91" s="117"/>
      <c r="J91" s="127"/>
      <c r="K91" s="117"/>
      <c r="L91" s="117"/>
      <c r="M91" s="117"/>
      <c r="N91" s="117"/>
      <c r="O91" s="118"/>
      <c r="P91" s="117"/>
      <c r="Q91" s="117"/>
      <c r="R91" s="118"/>
    </row>
    <row r="92" spans="1:18" ht="13.5" customHeight="1">
      <c r="A92" s="133" t="s">
        <v>349</v>
      </c>
      <c r="B92" s="119"/>
      <c r="C92" s="119"/>
      <c r="D92" s="119"/>
      <c r="E92" s="119"/>
      <c r="F92" s="119"/>
      <c r="G92" s="119"/>
      <c r="H92" s="119"/>
      <c r="I92" s="119"/>
      <c r="J92" s="125"/>
      <c r="K92" s="119"/>
      <c r="L92" s="119"/>
      <c r="M92" s="119"/>
      <c r="N92" s="119"/>
      <c r="O92" s="113"/>
      <c r="P92" s="119"/>
      <c r="Q92" s="119"/>
      <c r="R92" s="113"/>
    </row>
    <row r="93" spans="1:18" ht="13.5" customHeight="1">
      <c r="A93" s="133" t="s">
        <v>350</v>
      </c>
      <c r="B93" s="119"/>
      <c r="C93" s="119"/>
      <c r="D93" s="119"/>
      <c r="E93" s="119"/>
      <c r="F93" s="119"/>
      <c r="G93" s="119"/>
      <c r="H93" s="119"/>
      <c r="I93" s="119"/>
      <c r="J93" s="119"/>
      <c r="K93" s="119"/>
      <c r="L93" s="119"/>
      <c r="M93" s="119"/>
      <c r="N93" s="119"/>
      <c r="O93" s="113"/>
      <c r="P93" s="119"/>
      <c r="Q93" s="119"/>
      <c r="R93" s="113"/>
    </row>
    <row r="94" spans="1:18" ht="13.5" customHeight="1">
      <c r="A94" s="133" t="s">
        <v>351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3"/>
      <c r="P94" s="119"/>
      <c r="Q94" s="119"/>
      <c r="R94" s="113"/>
    </row>
    <row r="95" spans="1:18" ht="13.5" customHeight="1">
      <c r="A95" s="133" t="s">
        <v>352</v>
      </c>
      <c r="B95" s="119"/>
      <c r="C95" s="119"/>
      <c r="D95" s="119"/>
      <c r="E95" s="119"/>
      <c r="F95" s="119"/>
      <c r="G95" s="119"/>
      <c r="H95" s="119"/>
      <c r="I95" s="119"/>
      <c r="J95" s="119"/>
      <c r="K95" s="119"/>
      <c r="L95" s="119"/>
      <c r="M95" s="119"/>
      <c r="N95" s="119"/>
      <c r="O95" s="113"/>
      <c r="P95" s="119"/>
      <c r="Q95" s="119"/>
      <c r="R95" s="113"/>
    </row>
    <row r="96" spans="1:18" ht="13.5" customHeight="1">
      <c r="A96" s="133" t="s">
        <v>353</v>
      </c>
      <c r="B96" s="119"/>
      <c r="C96" s="119"/>
      <c r="D96" s="119"/>
      <c r="E96" s="119"/>
      <c r="F96" s="119"/>
      <c r="G96" s="119"/>
      <c r="H96" s="119"/>
      <c r="I96" s="119"/>
      <c r="J96" s="119"/>
      <c r="K96" s="119"/>
      <c r="L96" s="119"/>
      <c r="M96" s="119"/>
      <c r="N96" s="119"/>
      <c r="O96" s="113"/>
      <c r="P96" s="119"/>
      <c r="Q96" s="119"/>
      <c r="R96" s="113"/>
    </row>
    <row r="97" spans="1:18" ht="13.5" customHeight="1">
      <c r="A97" s="137" t="s">
        <v>354</v>
      </c>
      <c r="B97" s="125"/>
      <c r="C97" s="125"/>
      <c r="D97" s="125"/>
      <c r="E97" s="125"/>
      <c r="F97" s="125"/>
      <c r="G97" s="125"/>
      <c r="H97" s="125"/>
      <c r="I97" s="125"/>
      <c r="J97" s="125"/>
      <c r="K97" s="125"/>
      <c r="L97" s="125"/>
      <c r="M97" s="125"/>
      <c r="N97" s="125"/>
      <c r="O97" s="126"/>
      <c r="P97" s="125"/>
      <c r="Q97" s="125"/>
      <c r="R97" s="126"/>
    </row>
    <row r="98" spans="1:18" ht="13.5" customHeight="1">
      <c r="A98" s="133" t="s">
        <v>355</v>
      </c>
      <c r="B98" s="119"/>
      <c r="C98" s="119"/>
      <c r="D98" s="119"/>
      <c r="E98" s="119"/>
      <c r="F98" s="119"/>
      <c r="G98" s="119"/>
      <c r="H98" s="119"/>
      <c r="I98" s="119"/>
      <c r="J98" s="119"/>
      <c r="K98" s="119"/>
      <c r="L98" s="119"/>
      <c r="M98" s="119"/>
      <c r="N98" s="119"/>
      <c r="O98" s="113"/>
      <c r="P98" s="119"/>
      <c r="Q98" s="119"/>
      <c r="R98" s="113"/>
    </row>
    <row r="99" spans="1:18" ht="13.5" customHeight="1">
      <c r="A99" s="137" t="s">
        <v>356</v>
      </c>
      <c r="B99" s="120"/>
      <c r="C99" s="120"/>
      <c r="D99" s="120"/>
      <c r="E99" s="120"/>
      <c r="F99" s="120"/>
      <c r="G99" s="120">
        <v>0</v>
      </c>
      <c r="H99" s="197"/>
      <c r="I99" s="120"/>
      <c r="J99" s="120"/>
      <c r="K99" s="120"/>
      <c r="L99" s="120"/>
      <c r="M99" s="120"/>
      <c r="N99" s="120"/>
      <c r="O99" s="110"/>
      <c r="P99" s="120"/>
      <c r="Q99" s="120"/>
      <c r="R99" s="266">
        <f>SUM(G99:Q99)</f>
        <v>0</v>
      </c>
    </row>
    <row r="100" spans="1:18" ht="13.5" customHeight="1">
      <c r="A100" s="133" t="s">
        <v>38</v>
      </c>
      <c r="B100" s="103"/>
      <c r="C100" s="103">
        <v>0</v>
      </c>
      <c r="D100" s="103">
        <v>0</v>
      </c>
      <c r="E100" s="103">
        <v>0</v>
      </c>
      <c r="F100" s="103">
        <v>0</v>
      </c>
      <c r="G100" s="103">
        <v>0</v>
      </c>
      <c r="H100" s="103">
        <v>0</v>
      </c>
      <c r="I100" s="103">
        <v>0</v>
      </c>
      <c r="J100" s="103">
        <v>0</v>
      </c>
      <c r="K100" s="103">
        <v>0</v>
      </c>
      <c r="L100" s="103">
        <v>0</v>
      </c>
      <c r="M100" s="103">
        <v>0</v>
      </c>
      <c r="N100" s="103">
        <v>0</v>
      </c>
      <c r="O100" s="103">
        <v>0</v>
      </c>
      <c r="P100" s="103">
        <v>0</v>
      </c>
      <c r="Q100" s="103"/>
      <c r="R100" s="103">
        <f>SUM(G100)</f>
        <v>0</v>
      </c>
    </row>
    <row r="101" spans="1:18" ht="13.5" customHeight="1" thickBot="1">
      <c r="A101" s="134" t="s">
        <v>39</v>
      </c>
      <c r="B101" s="136"/>
      <c r="C101" s="136">
        <v>0</v>
      </c>
      <c r="D101" s="136">
        <v>0</v>
      </c>
      <c r="E101" s="136">
        <v>0</v>
      </c>
      <c r="F101" s="136">
        <v>0</v>
      </c>
      <c r="G101" s="136">
        <v>0</v>
      </c>
      <c r="H101" s="136">
        <v>0</v>
      </c>
      <c r="I101" s="136">
        <v>0</v>
      </c>
      <c r="J101" s="136">
        <v>0</v>
      </c>
      <c r="K101" s="136">
        <v>0</v>
      </c>
      <c r="L101" s="136">
        <v>0</v>
      </c>
      <c r="M101" s="136">
        <v>0</v>
      </c>
      <c r="N101" s="136">
        <v>0</v>
      </c>
      <c r="O101" s="136">
        <v>0</v>
      </c>
      <c r="P101" s="136">
        <v>0</v>
      </c>
      <c r="Q101" s="136"/>
      <c r="R101" s="116">
        <f>SUM(C101:Q101)</f>
        <v>0</v>
      </c>
    </row>
    <row r="102" spans="1:18" ht="13.5" customHeight="1" thickTop="1">
      <c r="A102" s="137" t="s">
        <v>357</v>
      </c>
      <c r="B102" s="125"/>
      <c r="C102" s="125"/>
      <c r="D102" s="125"/>
      <c r="E102" s="125"/>
      <c r="F102" s="125"/>
      <c r="G102" s="125"/>
      <c r="H102" s="125"/>
      <c r="I102" s="125"/>
      <c r="J102" s="125"/>
      <c r="K102" s="125"/>
      <c r="L102" s="125"/>
      <c r="M102" s="125"/>
      <c r="N102" s="126"/>
      <c r="O102" s="126"/>
      <c r="P102" s="126"/>
      <c r="Q102" s="126"/>
      <c r="R102" s="127"/>
    </row>
    <row r="103" spans="1:18" ht="13.5" customHeight="1">
      <c r="A103" s="137" t="s">
        <v>358</v>
      </c>
      <c r="B103" s="125"/>
      <c r="C103" s="125"/>
      <c r="D103" s="125"/>
      <c r="E103" s="125"/>
      <c r="F103" s="125"/>
      <c r="G103" s="125"/>
      <c r="H103" s="125"/>
      <c r="I103" s="125"/>
      <c r="J103" s="125"/>
      <c r="K103" s="125"/>
      <c r="L103" s="125"/>
      <c r="M103" s="125"/>
      <c r="N103" s="125"/>
      <c r="O103" s="126"/>
      <c r="P103" s="125"/>
      <c r="Q103" s="125"/>
      <c r="R103" s="126"/>
    </row>
    <row r="104" spans="1:18" ht="13.5" customHeight="1">
      <c r="A104" s="137" t="s">
        <v>359</v>
      </c>
      <c r="B104" s="125"/>
      <c r="C104" s="125"/>
      <c r="D104" s="125"/>
      <c r="E104" s="125"/>
      <c r="F104" s="125"/>
      <c r="G104" s="125"/>
      <c r="H104" s="125"/>
      <c r="I104" s="125"/>
      <c r="J104" s="125"/>
      <c r="K104" s="125"/>
      <c r="L104" s="125"/>
      <c r="M104" s="125"/>
      <c r="N104" s="125"/>
      <c r="O104" s="126"/>
      <c r="P104" s="125"/>
      <c r="Q104" s="125"/>
      <c r="R104" s="126"/>
    </row>
    <row r="105" spans="1:18" ht="13.5" customHeight="1">
      <c r="A105" s="133" t="s">
        <v>360</v>
      </c>
      <c r="B105" s="119"/>
      <c r="C105" s="119"/>
      <c r="D105" s="119"/>
      <c r="E105" s="119"/>
      <c r="F105" s="119"/>
      <c r="G105" s="119"/>
      <c r="H105" s="119"/>
      <c r="I105" s="119"/>
      <c r="J105" s="119"/>
      <c r="K105" s="119"/>
      <c r="L105" s="119"/>
      <c r="M105" s="119"/>
      <c r="N105" s="119"/>
      <c r="O105" s="113"/>
      <c r="P105" s="119"/>
      <c r="Q105" s="119">
        <f>383000</f>
        <v>383000</v>
      </c>
      <c r="R105" s="113">
        <f>SUM(Q105)</f>
        <v>383000</v>
      </c>
    </row>
    <row r="106" spans="1:18" ht="13.5" customHeight="1">
      <c r="A106" s="133" t="s">
        <v>38</v>
      </c>
      <c r="B106" s="103"/>
      <c r="C106" s="103">
        <f>SUM(C104:C105)</f>
        <v>0</v>
      </c>
      <c r="D106" s="103">
        <v>0</v>
      </c>
      <c r="E106" s="103">
        <v>0</v>
      </c>
      <c r="F106" s="103">
        <v>0</v>
      </c>
      <c r="G106" s="103">
        <v>0</v>
      </c>
      <c r="H106" s="103">
        <v>0</v>
      </c>
      <c r="I106" s="103">
        <v>0</v>
      </c>
      <c r="J106" s="103">
        <v>0</v>
      </c>
      <c r="K106" s="103">
        <v>0</v>
      </c>
      <c r="L106" s="103">
        <v>0</v>
      </c>
      <c r="M106" s="103">
        <v>0</v>
      </c>
      <c r="N106" s="103">
        <v>0</v>
      </c>
      <c r="O106" s="103">
        <v>0</v>
      </c>
      <c r="P106" s="103">
        <v>0</v>
      </c>
      <c r="Q106" s="103">
        <f>SUM(Q105)</f>
        <v>383000</v>
      </c>
      <c r="R106" s="103">
        <f>SUM(C106:Q106)</f>
        <v>383000</v>
      </c>
    </row>
    <row r="107" spans="1:18" ht="13.5" customHeight="1" thickBot="1">
      <c r="A107" s="134" t="s">
        <v>39</v>
      </c>
      <c r="B107" s="136"/>
      <c r="C107" s="136">
        <v>0</v>
      </c>
      <c r="D107" s="136">
        <v>0</v>
      </c>
      <c r="E107" s="136">
        <v>0</v>
      </c>
      <c r="F107" s="136">
        <v>0</v>
      </c>
      <c r="G107" s="136">
        <v>0</v>
      </c>
      <c r="H107" s="136">
        <v>0</v>
      </c>
      <c r="I107" s="136">
        <v>0</v>
      </c>
      <c r="J107" s="136">
        <v>0</v>
      </c>
      <c r="K107" s="136">
        <v>0</v>
      </c>
      <c r="L107" s="136">
        <v>0</v>
      </c>
      <c r="M107" s="136">
        <v>0</v>
      </c>
      <c r="N107" s="136">
        <v>0</v>
      </c>
      <c r="O107" s="136">
        <v>0</v>
      </c>
      <c r="P107" s="136">
        <v>0</v>
      </c>
      <c r="Q107" s="136">
        <f>840000+383000</f>
        <v>1223000</v>
      </c>
      <c r="R107" s="116">
        <f>840000+383000</f>
        <v>1223000</v>
      </c>
    </row>
    <row r="108" spans="1:18" ht="13.5" customHeight="1" thickTop="1">
      <c r="A108" s="137" t="s">
        <v>361</v>
      </c>
      <c r="B108" s="125"/>
      <c r="C108" s="125"/>
      <c r="D108" s="125"/>
      <c r="E108" s="125"/>
      <c r="F108" s="125"/>
      <c r="G108" s="125"/>
      <c r="H108" s="125"/>
      <c r="I108" s="125"/>
      <c r="J108" s="125"/>
      <c r="K108" s="125"/>
      <c r="L108" s="125"/>
      <c r="M108" s="126"/>
      <c r="N108" s="125"/>
      <c r="O108" s="127"/>
      <c r="P108" s="125"/>
      <c r="Q108" s="125"/>
      <c r="R108" s="113"/>
    </row>
    <row r="109" spans="1:18" ht="13.5" customHeight="1">
      <c r="A109" s="137" t="s">
        <v>362</v>
      </c>
      <c r="B109" s="113"/>
      <c r="C109" s="119"/>
      <c r="D109" s="119"/>
      <c r="E109" s="119"/>
      <c r="F109" s="119"/>
      <c r="G109" s="119"/>
      <c r="H109" s="119"/>
      <c r="I109" s="119"/>
      <c r="J109" s="119"/>
      <c r="K109" s="119"/>
      <c r="L109" s="119"/>
      <c r="M109" s="119"/>
      <c r="N109" s="119"/>
      <c r="O109" s="113"/>
      <c r="P109" s="119"/>
      <c r="Q109" s="119"/>
      <c r="R109" s="113"/>
    </row>
    <row r="110" spans="1:18" ht="13.5" customHeight="1">
      <c r="A110" s="137" t="s">
        <v>363</v>
      </c>
      <c r="B110" s="120"/>
      <c r="C110" s="119"/>
      <c r="D110" s="119"/>
      <c r="E110" s="119"/>
      <c r="F110" s="119"/>
      <c r="G110" s="119"/>
      <c r="H110" s="119">
        <v>0</v>
      </c>
      <c r="I110" s="119"/>
      <c r="J110" s="119"/>
      <c r="K110" s="119"/>
      <c r="L110" s="119"/>
      <c r="M110" s="119"/>
      <c r="N110" s="119"/>
      <c r="O110" s="119">
        <v>0</v>
      </c>
      <c r="P110" s="113"/>
      <c r="Q110" s="113"/>
      <c r="R110" s="113">
        <f>SUM(C110:P110)</f>
        <v>0</v>
      </c>
    </row>
    <row r="111" spans="1:18" ht="13.5" customHeight="1">
      <c r="A111" s="133" t="s">
        <v>364</v>
      </c>
      <c r="B111" s="119"/>
      <c r="C111" s="119"/>
      <c r="D111" s="119"/>
      <c r="E111" s="119"/>
      <c r="F111" s="119"/>
      <c r="G111" s="119"/>
      <c r="H111" s="119"/>
      <c r="I111" s="119"/>
      <c r="J111" s="119"/>
      <c r="K111" s="119"/>
      <c r="L111" s="119"/>
      <c r="M111" s="119"/>
      <c r="N111" s="119"/>
      <c r="O111" s="119"/>
      <c r="P111" s="113"/>
      <c r="Q111" s="113"/>
      <c r="R111" s="113">
        <f>SUM(C111:P111)</f>
        <v>0</v>
      </c>
    </row>
    <row r="112" spans="1:18" ht="13.5" customHeight="1">
      <c r="A112" s="133" t="s">
        <v>38</v>
      </c>
      <c r="B112" s="103"/>
      <c r="C112" s="103">
        <v>0</v>
      </c>
      <c r="D112" s="103">
        <v>0</v>
      </c>
      <c r="E112" s="103">
        <v>0</v>
      </c>
      <c r="F112" s="103">
        <v>0</v>
      </c>
      <c r="G112" s="103">
        <v>0</v>
      </c>
      <c r="H112" s="103">
        <v>0</v>
      </c>
      <c r="I112" s="103">
        <v>0</v>
      </c>
      <c r="J112" s="103">
        <v>0</v>
      </c>
      <c r="K112" s="103">
        <v>0</v>
      </c>
      <c r="L112" s="103">
        <v>0</v>
      </c>
      <c r="M112" s="103">
        <f>SUM(M108:M111)</f>
        <v>0</v>
      </c>
      <c r="N112" s="103">
        <f>SUM(N110:N111)</f>
        <v>0</v>
      </c>
      <c r="O112" s="103">
        <f>SUM(O110:O111)</f>
        <v>0</v>
      </c>
      <c r="P112" s="103">
        <f>SUM(P108:P111)</f>
        <v>0</v>
      </c>
      <c r="Q112" s="103"/>
      <c r="R112" s="103">
        <f>SUM(C112:P112)</f>
        <v>0</v>
      </c>
    </row>
    <row r="113" spans="1:18" ht="13.5" customHeight="1" thickBot="1">
      <c r="A113" s="134" t="s">
        <v>39</v>
      </c>
      <c r="B113" s="136"/>
      <c r="C113" s="136">
        <v>0</v>
      </c>
      <c r="D113" s="136">
        <v>0</v>
      </c>
      <c r="E113" s="136">
        <v>0</v>
      </c>
      <c r="F113" s="136">
        <v>0</v>
      </c>
      <c r="G113" s="136">
        <v>0</v>
      </c>
      <c r="H113" s="136">
        <v>0</v>
      </c>
      <c r="I113" s="136">
        <v>0</v>
      </c>
      <c r="J113" s="136">
        <v>0</v>
      </c>
      <c r="K113" s="136">
        <v>0</v>
      </c>
      <c r="L113" s="136">
        <v>0</v>
      </c>
      <c r="M113" s="136">
        <v>0</v>
      </c>
      <c r="N113" s="136">
        <f>SUM(N111:N112)</f>
        <v>0</v>
      </c>
      <c r="O113" s="136">
        <v>0</v>
      </c>
      <c r="P113" s="136">
        <v>0</v>
      </c>
      <c r="Q113" s="136"/>
      <c r="R113" s="136">
        <f>SUM(C113:P113)</f>
        <v>0</v>
      </c>
    </row>
    <row r="114" spans="1:18" ht="13.5" customHeight="1" thickTop="1">
      <c r="A114" s="137" t="s">
        <v>365</v>
      </c>
      <c r="B114" s="120"/>
      <c r="C114" s="125"/>
      <c r="D114" s="125"/>
      <c r="E114" s="125"/>
      <c r="F114" s="125"/>
      <c r="G114" s="125"/>
      <c r="H114" s="125"/>
      <c r="I114" s="125"/>
      <c r="J114" s="125"/>
      <c r="K114" s="125"/>
      <c r="L114" s="125"/>
      <c r="M114" s="125"/>
      <c r="N114" s="125"/>
      <c r="O114" s="126"/>
      <c r="P114" s="125"/>
      <c r="Q114" s="125"/>
      <c r="R114" s="126"/>
    </row>
    <row r="115" spans="1:18" ht="13.5" customHeight="1">
      <c r="A115" s="137" t="s">
        <v>366</v>
      </c>
      <c r="B115" s="121"/>
      <c r="C115" s="120"/>
      <c r="D115" s="120">
        <v>0</v>
      </c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  <c r="O115" s="110"/>
      <c r="P115" s="120"/>
      <c r="Q115" s="120"/>
      <c r="R115" s="110">
        <f>SUM(B115:P115)</f>
        <v>0</v>
      </c>
    </row>
    <row r="116" spans="1:18" ht="13.5" customHeight="1">
      <c r="A116" s="133" t="s">
        <v>38</v>
      </c>
      <c r="B116" s="103">
        <v>0</v>
      </c>
      <c r="C116" s="103">
        <v>0</v>
      </c>
      <c r="D116" s="103">
        <f>SUM(D115)</f>
        <v>0</v>
      </c>
      <c r="E116" s="103">
        <v>0</v>
      </c>
      <c r="F116" s="103">
        <v>0</v>
      </c>
      <c r="G116" s="103">
        <v>0</v>
      </c>
      <c r="H116" s="103">
        <v>0</v>
      </c>
      <c r="I116" s="103">
        <v>0</v>
      </c>
      <c r="J116" s="103">
        <v>0</v>
      </c>
      <c r="K116" s="103">
        <v>0</v>
      </c>
      <c r="L116" s="103">
        <v>0</v>
      </c>
      <c r="M116" s="103">
        <v>0</v>
      </c>
      <c r="N116" s="103">
        <v>0</v>
      </c>
      <c r="O116" s="103">
        <v>0</v>
      </c>
      <c r="P116" s="103">
        <v>0</v>
      </c>
      <c r="Q116" s="103"/>
      <c r="R116" s="103">
        <f>SUM(B116:P116)</f>
        <v>0</v>
      </c>
    </row>
    <row r="117" spans="1:18" ht="13.5" customHeight="1" thickBot="1">
      <c r="A117" s="134" t="s">
        <v>39</v>
      </c>
      <c r="B117" s="136">
        <v>0</v>
      </c>
      <c r="C117" s="136">
        <v>0</v>
      </c>
      <c r="D117" s="136">
        <v>0</v>
      </c>
      <c r="E117" s="136">
        <v>0</v>
      </c>
      <c r="F117" s="136">
        <v>0</v>
      </c>
      <c r="G117" s="136">
        <v>0</v>
      </c>
      <c r="H117" s="136">
        <v>0</v>
      </c>
      <c r="I117" s="136">
        <v>0</v>
      </c>
      <c r="J117" s="136">
        <v>0</v>
      </c>
      <c r="K117" s="136">
        <v>0</v>
      </c>
      <c r="L117" s="136">
        <v>0</v>
      </c>
      <c r="M117" s="136">
        <v>0</v>
      </c>
      <c r="N117" s="136">
        <v>0</v>
      </c>
      <c r="O117" s="136">
        <v>0</v>
      </c>
      <c r="P117" s="136">
        <v>0</v>
      </c>
      <c r="Q117" s="136"/>
      <c r="R117" s="136">
        <f>SUM(B117:P117)</f>
        <v>0</v>
      </c>
    </row>
    <row r="118" spans="1:18" ht="13.5" customHeight="1" thickTop="1">
      <c r="A118" s="133" t="s">
        <v>38</v>
      </c>
      <c r="B118" s="115">
        <f>SUM(B13)</f>
        <v>0</v>
      </c>
      <c r="C118" s="103">
        <f>SUM(C28+C61)</f>
        <v>0</v>
      </c>
      <c r="D118" s="196">
        <v>0</v>
      </c>
      <c r="E118" s="196">
        <f>SUM(E28,E46,E54,E61,E76,E89,E100,E106,E112)</f>
        <v>0</v>
      </c>
      <c r="F118" s="196">
        <v>0</v>
      </c>
      <c r="G118" s="196">
        <f>SUM(G28,G46,G54,G61,G76,G89,G100,G106,G112)</f>
        <v>0</v>
      </c>
      <c r="H118" s="196">
        <f>SUM(H54,H61,H76,H89,H100,H106,H112)</f>
        <v>0</v>
      </c>
      <c r="I118" s="196">
        <f>SUM(I13+I22+I28+I33+I46+I54+I61+I76+I89+I100+I106+I112)</f>
        <v>0</v>
      </c>
      <c r="J118" s="196">
        <v>0</v>
      </c>
      <c r="K118" s="196">
        <v>0</v>
      </c>
      <c r="L118" s="196">
        <f>SUM(L28,L46,L54,L61,L76,L89,L100,L106,L112)</f>
        <v>0</v>
      </c>
      <c r="M118" s="196">
        <v>0</v>
      </c>
      <c r="N118" s="196">
        <v>0</v>
      </c>
      <c r="O118" s="196">
        <f>SUM(O61)</f>
        <v>0</v>
      </c>
      <c r="P118" s="196">
        <v>0</v>
      </c>
      <c r="Q118" s="196">
        <f>SUM(Q106)</f>
        <v>383000</v>
      </c>
      <c r="R118" s="115">
        <f>SUM(B118:Q118)</f>
        <v>383000</v>
      </c>
    </row>
    <row r="119" spans="1:18" ht="13.5" customHeight="1" thickBot="1">
      <c r="A119" s="134" t="s">
        <v>39</v>
      </c>
      <c r="B119" s="116">
        <f>SUM(B14)</f>
        <v>0</v>
      </c>
      <c r="C119" s="136">
        <f>SUM(C29+C55+C62)</f>
        <v>0</v>
      </c>
      <c r="D119" s="136">
        <v>0</v>
      </c>
      <c r="E119" s="136">
        <f>SUM(E29,E47,E55,E62,E77)</f>
        <v>0</v>
      </c>
      <c r="F119" s="136">
        <v>0</v>
      </c>
      <c r="G119" s="136">
        <f>SUM(G29,G47,G55,G90,G101)</f>
        <v>0</v>
      </c>
      <c r="H119" s="136">
        <f>SUM(H113)</f>
        <v>0</v>
      </c>
      <c r="I119" s="136">
        <f>SUM(I47)</f>
        <v>0</v>
      </c>
      <c r="J119" s="136">
        <v>0</v>
      </c>
      <c r="K119" s="136">
        <v>0</v>
      </c>
      <c r="L119" s="136">
        <f>SUM(L29,L47,L55,L62)</f>
        <v>0</v>
      </c>
      <c r="M119" s="136">
        <v>0</v>
      </c>
      <c r="N119" s="136">
        <v>0</v>
      </c>
      <c r="O119" s="136">
        <f>SUM(O62)</f>
        <v>0</v>
      </c>
      <c r="P119" s="136">
        <v>0</v>
      </c>
      <c r="Q119" s="136">
        <f>840000+383000</f>
        <v>1223000</v>
      </c>
      <c r="R119" s="116">
        <f>SUM(B119:Q119)</f>
        <v>1223000</v>
      </c>
    </row>
    <row r="120" ht="15" thickTop="1"/>
  </sheetData>
  <sheetProtection/>
  <mergeCells count="28">
    <mergeCell ref="P81:Q81"/>
    <mergeCell ref="R81:R82"/>
    <mergeCell ref="B81:B82"/>
    <mergeCell ref="C81:E81"/>
    <mergeCell ref="G81:H81"/>
    <mergeCell ref="I81:J81"/>
    <mergeCell ref="L81:M81"/>
    <mergeCell ref="N81:O81"/>
    <mergeCell ref="P5:Q5"/>
    <mergeCell ref="R5:R6"/>
    <mergeCell ref="B41:B42"/>
    <mergeCell ref="C41:E41"/>
    <mergeCell ref="G41:H41"/>
    <mergeCell ref="I41:J41"/>
    <mergeCell ref="L41:M41"/>
    <mergeCell ref="N41:O41"/>
    <mergeCell ref="P41:Q41"/>
    <mergeCell ref="R41:R42"/>
    <mergeCell ref="A1:R1"/>
    <mergeCell ref="A2:R2"/>
    <mergeCell ref="A3:R3"/>
    <mergeCell ref="A4:R4"/>
    <mergeCell ref="B5:B6"/>
    <mergeCell ref="C5:E5"/>
    <mergeCell ref="G5:H5"/>
    <mergeCell ref="I5:J5"/>
    <mergeCell ref="L5:M5"/>
    <mergeCell ref="N5:O5"/>
  </mergeCells>
  <printOptions/>
  <pageMargins left="0.1968503937007874" right="0.1968503937007874" top="0.2362204724409449" bottom="0.1968503937007874" header="0.2755905511811024" footer="0.196850393700787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view="pageBreakPreview" zoomScaleSheetLayoutView="100" zoomScalePageLayoutView="0" workbookViewId="0" topLeftCell="A19">
      <selection activeCell="D6" sqref="D6"/>
    </sheetView>
  </sheetViews>
  <sheetFormatPr defaultColWidth="9.140625" defaultRowHeight="12.75"/>
  <cols>
    <col min="1" max="1" width="6.421875" style="58" customWidth="1"/>
    <col min="2" max="2" width="11.140625" style="58" customWidth="1"/>
    <col min="3" max="3" width="11.57421875" style="233" customWidth="1"/>
    <col min="4" max="4" width="45.8515625" style="58" customWidth="1"/>
    <col min="5" max="5" width="15.8515625" style="234" customWidth="1"/>
    <col min="6" max="16384" width="9.140625" style="58" customWidth="1"/>
  </cols>
  <sheetData>
    <row r="1" spans="1:5" ht="21">
      <c r="A1" s="280" t="s">
        <v>483</v>
      </c>
      <c r="B1" s="280"/>
      <c r="C1" s="280"/>
      <c r="D1" s="280"/>
      <c r="E1" s="280"/>
    </row>
    <row r="2" spans="1:5" ht="21">
      <c r="A2" s="280" t="s">
        <v>278</v>
      </c>
      <c r="B2" s="280"/>
      <c r="C2" s="280"/>
      <c r="D2" s="280"/>
      <c r="E2" s="280"/>
    </row>
    <row r="3" spans="1:5" ht="21">
      <c r="A3" s="226" t="s">
        <v>146</v>
      </c>
      <c r="B3" s="226" t="s">
        <v>147</v>
      </c>
      <c r="C3" s="227" t="s">
        <v>148</v>
      </c>
      <c r="D3" s="226" t="s">
        <v>149</v>
      </c>
      <c r="E3" s="228" t="s">
        <v>150</v>
      </c>
    </row>
    <row r="4" spans="1:5" ht="21">
      <c r="A4" s="229">
        <v>1</v>
      </c>
      <c r="B4" s="261">
        <v>20815</v>
      </c>
      <c r="C4" s="230" t="s">
        <v>459</v>
      </c>
      <c r="D4" s="229" t="s">
        <v>234</v>
      </c>
      <c r="E4" s="231">
        <v>50000</v>
      </c>
    </row>
    <row r="5" spans="1:5" ht="21">
      <c r="A5" s="229">
        <v>2</v>
      </c>
      <c r="B5" s="261">
        <v>20830</v>
      </c>
      <c r="C5" s="230" t="s">
        <v>486</v>
      </c>
      <c r="D5" s="229" t="s">
        <v>487</v>
      </c>
      <c r="E5" s="231">
        <v>50000</v>
      </c>
    </row>
    <row r="6" spans="1:5" ht="21">
      <c r="A6" s="229">
        <v>3</v>
      </c>
      <c r="B6" s="261">
        <v>239855</v>
      </c>
      <c r="C6" s="230" t="s">
        <v>293</v>
      </c>
      <c r="D6" s="229" t="s">
        <v>235</v>
      </c>
      <c r="E6" s="231">
        <v>44000</v>
      </c>
    </row>
    <row r="7" spans="1:5" ht="21">
      <c r="A7" s="229">
        <v>4</v>
      </c>
      <c r="B7" s="261">
        <v>20771</v>
      </c>
      <c r="C7" s="230" t="s">
        <v>434</v>
      </c>
      <c r="D7" s="229" t="s">
        <v>236</v>
      </c>
      <c r="E7" s="231">
        <v>40000</v>
      </c>
    </row>
    <row r="8" spans="1:5" ht="21">
      <c r="A8" s="229">
        <v>5</v>
      </c>
      <c r="B8" s="261">
        <v>239759</v>
      </c>
      <c r="C8" s="230" t="s">
        <v>237</v>
      </c>
      <c r="D8" s="229" t="s">
        <v>238</v>
      </c>
      <c r="E8" s="231">
        <v>16000</v>
      </c>
    </row>
    <row r="9" spans="1:5" ht="21">
      <c r="A9" s="229">
        <v>6</v>
      </c>
      <c r="B9" s="261">
        <v>239870</v>
      </c>
      <c r="C9" s="230" t="s">
        <v>484</v>
      </c>
      <c r="D9" s="229" t="s">
        <v>239</v>
      </c>
      <c r="E9" s="231">
        <v>24000</v>
      </c>
    </row>
    <row r="10" spans="1:5" ht="21">
      <c r="A10" s="229">
        <v>7</v>
      </c>
      <c r="B10" s="261">
        <v>20815</v>
      </c>
      <c r="C10" s="230" t="s">
        <v>460</v>
      </c>
      <c r="D10" s="229" t="s">
        <v>240</v>
      </c>
      <c r="E10" s="231">
        <v>76000</v>
      </c>
    </row>
    <row r="11" spans="1:5" ht="21">
      <c r="A11" s="229">
        <v>8</v>
      </c>
      <c r="B11" s="261">
        <v>239850</v>
      </c>
      <c r="C11" s="230" t="s">
        <v>294</v>
      </c>
      <c r="D11" s="229" t="s">
        <v>241</v>
      </c>
      <c r="E11" s="231">
        <v>40000</v>
      </c>
    </row>
    <row r="12" spans="1:5" ht="21">
      <c r="A12" s="229">
        <v>9</v>
      </c>
      <c r="B12" s="261">
        <v>239870</v>
      </c>
      <c r="C12" s="230" t="s">
        <v>295</v>
      </c>
      <c r="D12" s="229" t="s">
        <v>242</v>
      </c>
      <c r="E12" s="231">
        <v>30000</v>
      </c>
    </row>
    <row r="13" spans="1:5" ht="21">
      <c r="A13" s="229">
        <v>10</v>
      </c>
      <c r="B13" s="261">
        <v>239776</v>
      </c>
      <c r="C13" s="230" t="s">
        <v>243</v>
      </c>
      <c r="D13" s="229" t="s">
        <v>244</v>
      </c>
      <c r="E13" s="231">
        <v>30000</v>
      </c>
    </row>
    <row r="14" spans="1:5" ht="21">
      <c r="A14" s="229">
        <v>11</v>
      </c>
      <c r="B14" s="261">
        <v>20773</v>
      </c>
      <c r="C14" s="230" t="s">
        <v>435</v>
      </c>
      <c r="D14" s="229" t="s">
        <v>245</v>
      </c>
      <c r="E14" s="231">
        <v>100000</v>
      </c>
    </row>
    <row r="15" spans="1:5" ht="21">
      <c r="A15" s="229">
        <v>12</v>
      </c>
      <c r="B15" s="261">
        <v>239532</v>
      </c>
      <c r="C15" s="230" t="s">
        <v>246</v>
      </c>
      <c r="D15" s="229" t="s">
        <v>247</v>
      </c>
      <c r="E15" s="231">
        <v>40000</v>
      </c>
    </row>
    <row r="16" spans="1:5" ht="21">
      <c r="A16" s="229">
        <v>13</v>
      </c>
      <c r="B16" s="261">
        <v>239694</v>
      </c>
      <c r="C16" s="230" t="s">
        <v>248</v>
      </c>
      <c r="D16" s="229" t="s">
        <v>249</v>
      </c>
      <c r="E16" s="231">
        <v>20000</v>
      </c>
    </row>
    <row r="17" spans="1:5" ht="21">
      <c r="A17" s="229">
        <v>14</v>
      </c>
      <c r="B17" s="261">
        <v>239728</v>
      </c>
      <c r="C17" s="230" t="s">
        <v>250</v>
      </c>
      <c r="D17" s="229" t="s">
        <v>251</v>
      </c>
      <c r="E17" s="231">
        <v>39000</v>
      </c>
    </row>
    <row r="18" spans="1:5" ht="21">
      <c r="A18" s="229">
        <v>15</v>
      </c>
      <c r="B18" s="261">
        <v>20766</v>
      </c>
      <c r="C18" s="230" t="s">
        <v>432</v>
      </c>
      <c r="D18" s="229" t="s">
        <v>433</v>
      </c>
      <c r="E18" s="231">
        <v>100000</v>
      </c>
    </row>
    <row r="19" spans="1:5" ht="21">
      <c r="A19" s="229">
        <v>16</v>
      </c>
      <c r="B19" s="261">
        <v>20816</v>
      </c>
      <c r="C19" s="230" t="s">
        <v>461</v>
      </c>
      <c r="D19" s="229" t="s">
        <v>253</v>
      </c>
      <c r="E19" s="231">
        <v>13000</v>
      </c>
    </row>
    <row r="20" spans="1:5" ht="21">
      <c r="A20" s="229">
        <v>17</v>
      </c>
      <c r="B20" s="261">
        <v>239819</v>
      </c>
      <c r="C20" s="230" t="s">
        <v>281</v>
      </c>
      <c r="D20" s="229" t="s">
        <v>282</v>
      </c>
      <c r="E20" s="231">
        <v>47000</v>
      </c>
    </row>
    <row r="21" spans="1:5" ht="21">
      <c r="A21" s="229">
        <v>18</v>
      </c>
      <c r="B21" s="261">
        <v>239827</v>
      </c>
      <c r="C21" s="230" t="s">
        <v>283</v>
      </c>
      <c r="D21" s="229" t="s">
        <v>284</v>
      </c>
      <c r="E21" s="231">
        <v>40000</v>
      </c>
    </row>
    <row r="22" spans="1:5" ht="21">
      <c r="A22" s="229">
        <v>19</v>
      </c>
      <c r="B22" s="261">
        <v>237770</v>
      </c>
      <c r="C22" s="230" t="s">
        <v>254</v>
      </c>
      <c r="D22" s="229" t="s">
        <v>255</v>
      </c>
      <c r="E22" s="231">
        <v>13780</v>
      </c>
    </row>
    <row r="23" spans="1:5" ht="21">
      <c r="A23" s="229">
        <v>20</v>
      </c>
      <c r="B23" s="261">
        <v>237770</v>
      </c>
      <c r="C23" s="230" t="s">
        <v>185</v>
      </c>
      <c r="D23" s="229" t="s">
        <v>256</v>
      </c>
      <c r="E23" s="231">
        <v>8780</v>
      </c>
    </row>
    <row r="24" spans="1:5" ht="21">
      <c r="A24" s="229">
        <v>21</v>
      </c>
      <c r="B24" s="261">
        <v>20830</v>
      </c>
      <c r="C24" s="230" t="s">
        <v>485</v>
      </c>
      <c r="D24" s="229" t="s">
        <v>257</v>
      </c>
      <c r="E24" s="231">
        <v>60000</v>
      </c>
    </row>
    <row r="25" spans="1:5" ht="21">
      <c r="A25" s="229">
        <v>22</v>
      </c>
      <c r="B25" s="261">
        <v>20753</v>
      </c>
      <c r="C25" s="230" t="s">
        <v>372</v>
      </c>
      <c r="D25" s="229" t="s">
        <v>373</v>
      </c>
      <c r="E25" s="231">
        <v>24000</v>
      </c>
    </row>
    <row r="26" spans="1:5" ht="21">
      <c r="A26" s="229">
        <v>23</v>
      </c>
      <c r="B26" s="261">
        <v>20753</v>
      </c>
      <c r="C26" s="230" t="s">
        <v>374</v>
      </c>
      <c r="D26" s="229" t="s">
        <v>375</v>
      </c>
      <c r="E26" s="231">
        <v>26000</v>
      </c>
    </row>
    <row r="27" spans="1:5" ht="21">
      <c r="A27" s="229">
        <v>24</v>
      </c>
      <c r="B27" s="261">
        <v>20766</v>
      </c>
      <c r="C27" s="230" t="s">
        <v>430</v>
      </c>
      <c r="D27" s="229" t="s">
        <v>431</v>
      </c>
      <c r="E27" s="231">
        <v>15000</v>
      </c>
    </row>
    <row r="28" spans="1:5" ht="21">
      <c r="A28" s="229">
        <v>25</v>
      </c>
      <c r="B28" s="261">
        <v>20835</v>
      </c>
      <c r="C28" s="230" t="s">
        <v>488</v>
      </c>
      <c r="D28" s="229" t="s">
        <v>252</v>
      </c>
      <c r="E28" s="231">
        <v>70000</v>
      </c>
    </row>
    <row r="29" spans="1:5" ht="21">
      <c r="A29" s="229">
        <v>26</v>
      </c>
      <c r="B29" s="261">
        <v>239828</v>
      </c>
      <c r="C29" s="230" t="s">
        <v>285</v>
      </c>
      <c r="D29" s="229" t="s">
        <v>286</v>
      </c>
      <c r="E29" s="231">
        <v>30000</v>
      </c>
    </row>
    <row r="30" spans="1:5" ht="21">
      <c r="A30" s="279" t="s">
        <v>20</v>
      </c>
      <c r="B30" s="279"/>
      <c r="C30" s="279"/>
      <c r="D30" s="279"/>
      <c r="E30" s="232">
        <f>SUM(E4:E29)</f>
        <v>1046560</v>
      </c>
    </row>
    <row r="32" spans="1:6" ht="21">
      <c r="A32" s="281" t="s">
        <v>287</v>
      </c>
      <c r="B32" s="281"/>
      <c r="C32" s="281"/>
      <c r="D32" s="281"/>
      <c r="E32" s="281"/>
      <c r="F32" s="235"/>
    </row>
    <row r="33" spans="1:6" ht="21">
      <c r="A33" s="278" t="s">
        <v>232</v>
      </c>
      <c r="B33" s="278"/>
      <c r="C33" s="278"/>
      <c r="D33" s="278"/>
      <c r="E33" s="278"/>
      <c r="F33" s="278"/>
    </row>
    <row r="34" spans="1:6" ht="21">
      <c r="A34" s="278" t="s">
        <v>233</v>
      </c>
      <c r="B34" s="278"/>
      <c r="C34" s="278"/>
      <c r="D34" s="278"/>
      <c r="E34" s="278"/>
      <c r="F34" s="278"/>
    </row>
  </sheetData>
  <sheetProtection/>
  <mergeCells count="6">
    <mergeCell ref="A33:F33"/>
    <mergeCell ref="A34:F34"/>
    <mergeCell ref="A30:D30"/>
    <mergeCell ref="A1:E1"/>
    <mergeCell ref="A2:E2"/>
    <mergeCell ref="A32:E32"/>
  </mergeCells>
  <printOptions/>
  <pageMargins left="0.6692913385826772" right="0.3937007874015748" top="0.984251968503937" bottom="0.98425196850393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9.140625" style="171" customWidth="1"/>
    <col min="2" max="2" width="35.00390625" style="171" customWidth="1"/>
    <col min="3" max="3" width="17.421875" style="171" customWidth="1"/>
    <col min="4" max="4" width="12.421875" style="171" customWidth="1"/>
    <col min="5" max="16384" width="9.140625" style="171" customWidth="1"/>
  </cols>
  <sheetData>
    <row r="1" spans="1:5" ht="23.25">
      <c r="A1" s="282" t="s">
        <v>482</v>
      </c>
      <c r="B1" s="282"/>
      <c r="C1" s="282"/>
      <c r="D1" s="282"/>
      <c r="E1" s="70"/>
    </row>
    <row r="2" spans="1:5" ht="23.25">
      <c r="A2" s="282" t="s">
        <v>276</v>
      </c>
      <c r="B2" s="282"/>
      <c r="C2" s="282"/>
      <c r="D2" s="282"/>
      <c r="E2" s="70"/>
    </row>
    <row r="3" spans="1:4" ht="23.25">
      <c r="A3" s="282" t="s">
        <v>258</v>
      </c>
      <c r="B3" s="282"/>
      <c r="C3" s="282"/>
      <c r="D3" s="282"/>
    </row>
    <row r="5" spans="1:4" ht="23.25">
      <c r="A5" s="172" t="s">
        <v>146</v>
      </c>
      <c r="B5" s="172" t="s">
        <v>25</v>
      </c>
      <c r="C5" s="172" t="s">
        <v>72</v>
      </c>
      <c r="D5" s="172" t="s">
        <v>259</v>
      </c>
    </row>
    <row r="6" spans="1:4" ht="23.25">
      <c r="A6" s="184">
        <v>1</v>
      </c>
      <c r="B6" s="185" t="s">
        <v>260</v>
      </c>
      <c r="C6" s="186">
        <v>100000</v>
      </c>
      <c r="D6" s="185"/>
    </row>
    <row r="7" spans="1:4" ht="23.25">
      <c r="A7" s="187">
        <v>2</v>
      </c>
      <c r="B7" s="188" t="s">
        <v>261</v>
      </c>
      <c r="C7" s="189">
        <v>100000</v>
      </c>
      <c r="D7" s="188"/>
    </row>
    <row r="8" spans="1:4" ht="23.25">
      <c r="A8" s="187">
        <v>3</v>
      </c>
      <c r="B8" s="188" t="s">
        <v>262</v>
      </c>
      <c r="C8" s="189">
        <v>100000</v>
      </c>
      <c r="D8" s="188"/>
    </row>
    <row r="9" spans="1:4" ht="23.25">
      <c r="A9" s="187">
        <v>4</v>
      </c>
      <c r="B9" s="188" t="s">
        <v>263</v>
      </c>
      <c r="C9" s="189">
        <v>100000</v>
      </c>
      <c r="D9" s="188"/>
    </row>
    <row r="10" spans="1:4" ht="23.25">
      <c r="A10" s="187">
        <v>5</v>
      </c>
      <c r="B10" s="188" t="s">
        <v>264</v>
      </c>
      <c r="C10" s="189">
        <v>100000</v>
      </c>
      <c r="D10" s="188"/>
    </row>
    <row r="11" spans="1:4" ht="23.25">
      <c r="A11" s="187">
        <v>6</v>
      </c>
      <c r="B11" s="188" t="s">
        <v>265</v>
      </c>
      <c r="C11" s="189">
        <v>100000</v>
      </c>
      <c r="D11" s="188"/>
    </row>
    <row r="12" spans="1:4" ht="23.25">
      <c r="A12" s="187">
        <v>7</v>
      </c>
      <c r="B12" s="188" t="s">
        <v>266</v>
      </c>
      <c r="C12" s="189">
        <v>100000</v>
      </c>
      <c r="D12" s="188"/>
    </row>
    <row r="13" spans="1:4" ht="23.25">
      <c r="A13" s="187">
        <v>8</v>
      </c>
      <c r="B13" s="188" t="s">
        <v>267</v>
      </c>
      <c r="C13" s="189">
        <v>100000</v>
      </c>
      <c r="D13" s="188"/>
    </row>
    <row r="14" spans="1:4" ht="23.25">
      <c r="A14" s="187">
        <v>9</v>
      </c>
      <c r="B14" s="188" t="s">
        <v>268</v>
      </c>
      <c r="C14" s="189">
        <v>100000</v>
      </c>
      <c r="D14" s="188"/>
    </row>
    <row r="15" spans="1:4" ht="23.25">
      <c r="A15" s="187">
        <v>10</v>
      </c>
      <c r="B15" s="188" t="s">
        <v>269</v>
      </c>
      <c r="C15" s="189">
        <v>100000</v>
      </c>
      <c r="D15" s="188"/>
    </row>
    <row r="16" spans="1:4" ht="23.25">
      <c r="A16" s="190">
        <v>11</v>
      </c>
      <c r="B16" s="191" t="s">
        <v>270</v>
      </c>
      <c r="C16" s="192">
        <v>100000</v>
      </c>
      <c r="D16" s="191"/>
    </row>
    <row r="17" spans="3:4" ht="24" thickBot="1">
      <c r="C17" s="193">
        <f>SUM(C6:C16)</f>
        <v>1100000</v>
      </c>
      <c r="D17" s="194"/>
    </row>
    <row r="18" ht="24" thickTop="1"/>
    <row r="20" spans="1:4" ht="23.25">
      <c r="A20" s="171" t="s">
        <v>271</v>
      </c>
      <c r="D20" s="171" t="s">
        <v>272</v>
      </c>
    </row>
    <row r="21" spans="1:3" ht="23.25">
      <c r="A21" s="171" t="s">
        <v>273</v>
      </c>
      <c r="C21" s="171" t="s">
        <v>277</v>
      </c>
    </row>
    <row r="22" spans="1:3" ht="23.25">
      <c r="A22" s="171" t="s">
        <v>274</v>
      </c>
      <c r="C22" s="171" t="s">
        <v>275</v>
      </c>
    </row>
  </sheetData>
  <sheetProtection/>
  <mergeCells count="3">
    <mergeCell ref="A3:D3"/>
    <mergeCell ref="A1:D1"/>
    <mergeCell ref="A2:D2"/>
  </mergeCells>
  <printOptions/>
  <pageMargins left="1" right="1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3"/>
  <sheetViews>
    <sheetView view="pageBreakPreview" zoomScaleSheetLayoutView="100" zoomScalePageLayoutView="0" workbookViewId="0" topLeftCell="A52">
      <selection activeCell="D42" sqref="D42"/>
    </sheetView>
  </sheetViews>
  <sheetFormatPr defaultColWidth="9.140625" defaultRowHeight="12.75"/>
  <cols>
    <col min="1" max="1" width="6.421875" style="171" customWidth="1"/>
    <col min="2" max="2" width="11.140625" style="171" customWidth="1"/>
    <col min="3" max="3" width="11.57421875" style="181" customWidth="1"/>
    <col min="4" max="4" width="43.00390625" style="171" customWidth="1"/>
    <col min="5" max="5" width="14.00390625" style="170" customWidth="1"/>
    <col min="6" max="6" width="10.28125" style="170" bestFit="1" customWidth="1"/>
    <col min="7" max="16384" width="9.140625" style="171" customWidth="1"/>
  </cols>
  <sheetData>
    <row r="1" spans="1:6" ht="23.25">
      <c r="A1" s="282" t="s">
        <v>482</v>
      </c>
      <c r="B1" s="282"/>
      <c r="C1" s="282"/>
      <c r="D1" s="282"/>
      <c r="E1" s="282"/>
      <c r="F1" s="282"/>
    </row>
    <row r="2" spans="1:6" ht="23.25">
      <c r="A2" s="282" t="s">
        <v>424</v>
      </c>
      <c r="B2" s="282"/>
      <c r="C2" s="282"/>
      <c r="D2" s="282"/>
      <c r="E2" s="282"/>
      <c r="F2" s="282"/>
    </row>
    <row r="3" spans="1:6" ht="23.25">
      <c r="A3" s="287" t="s">
        <v>279</v>
      </c>
      <c r="B3" s="287"/>
      <c r="C3" s="287"/>
      <c r="D3" s="287"/>
      <c r="E3" s="287"/>
      <c r="F3" s="287"/>
    </row>
    <row r="4" spans="1:6" ht="23.25">
      <c r="A4" s="172" t="s">
        <v>146</v>
      </c>
      <c r="B4" s="172" t="s">
        <v>147</v>
      </c>
      <c r="C4" s="173" t="s">
        <v>148</v>
      </c>
      <c r="D4" s="172" t="s">
        <v>149</v>
      </c>
      <c r="E4" s="174" t="s">
        <v>150</v>
      </c>
      <c r="F4" s="174" t="s">
        <v>151</v>
      </c>
    </row>
    <row r="5" spans="1:6" ht="23.25">
      <c r="A5" s="175">
        <v>1</v>
      </c>
      <c r="B5" s="176">
        <v>16233</v>
      </c>
      <c r="C5" s="177" t="s">
        <v>152</v>
      </c>
      <c r="D5" s="175" t="s">
        <v>153</v>
      </c>
      <c r="E5" s="178">
        <v>47300</v>
      </c>
      <c r="F5" s="178">
        <v>238</v>
      </c>
    </row>
    <row r="6" spans="1:6" ht="23.25">
      <c r="A6" s="175">
        <v>2</v>
      </c>
      <c r="B6" s="176">
        <v>16233</v>
      </c>
      <c r="C6" s="177" t="s">
        <v>154</v>
      </c>
      <c r="D6" s="175" t="s">
        <v>155</v>
      </c>
      <c r="E6" s="178">
        <v>100000</v>
      </c>
      <c r="F6" s="178">
        <v>250</v>
      </c>
    </row>
    <row r="7" spans="1:6" ht="23.25">
      <c r="A7" s="175">
        <v>3</v>
      </c>
      <c r="B7" s="176">
        <v>17025</v>
      </c>
      <c r="C7" s="177" t="s">
        <v>156</v>
      </c>
      <c r="D7" s="175" t="s">
        <v>157</v>
      </c>
      <c r="E7" s="178">
        <v>40000</v>
      </c>
      <c r="F7" s="178">
        <v>338</v>
      </c>
    </row>
    <row r="8" spans="1:6" ht="23.25">
      <c r="A8" s="175">
        <v>4</v>
      </c>
      <c r="B8" s="176">
        <v>17025</v>
      </c>
      <c r="C8" s="177" t="s">
        <v>158</v>
      </c>
      <c r="D8" s="175" t="s">
        <v>159</v>
      </c>
      <c r="E8" s="178">
        <v>40000</v>
      </c>
      <c r="F8" s="178">
        <v>163</v>
      </c>
    </row>
    <row r="9" spans="1:6" ht="23.25">
      <c r="A9" s="175">
        <v>5</v>
      </c>
      <c r="B9" s="176">
        <v>17165</v>
      </c>
      <c r="C9" s="177" t="s">
        <v>160</v>
      </c>
      <c r="D9" s="175" t="s">
        <v>161</v>
      </c>
      <c r="E9" s="178">
        <v>60000</v>
      </c>
      <c r="F9" s="178">
        <v>5250</v>
      </c>
    </row>
    <row r="10" spans="1:6" ht="23.25">
      <c r="A10" s="175">
        <v>6</v>
      </c>
      <c r="B10" s="176">
        <v>17430</v>
      </c>
      <c r="C10" s="177" t="s">
        <v>162</v>
      </c>
      <c r="D10" s="175" t="s">
        <v>163</v>
      </c>
      <c r="E10" s="178">
        <v>30000</v>
      </c>
      <c r="F10" s="178">
        <v>375</v>
      </c>
    </row>
    <row r="11" spans="1:6" ht="23.25">
      <c r="A11" s="175">
        <v>7</v>
      </c>
      <c r="B11" s="176">
        <v>17430</v>
      </c>
      <c r="C11" s="177" t="s">
        <v>164</v>
      </c>
      <c r="D11" s="175" t="s">
        <v>165</v>
      </c>
      <c r="E11" s="178">
        <v>30000</v>
      </c>
      <c r="F11" s="178">
        <v>188</v>
      </c>
    </row>
    <row r="12" spans="1:6" ht="23.25">
      <c r="A12" s="175">
        <v>8</v>
      </c>
      <c r="B12" s="176">
        <v>17430</v>
      </c>
      <c r="C12" s="177" t="s">
        <v>166</v>
      </c>
      <c r="D12" s="175" t="s">
        <v>167</v>
      </c>
      <c r="E12" s="178">
        <v>20000</v>
      </c>
      <c r="F12" s="178">
        <v>250</v>
      </c>
    </row>
    <row r="13" spans="1:6" ht="23.25">
      <c r="A13" s="175">
        <v>9</v>
      </c>
      <c r="B13" s="176">
        <v>17508</v>
      </c>
      <c r="C13" s="177" t="s">
        <v>168</v>
      </c>
      <c r="D13" s="175" t="s">
        <v>169</v>
      </c>
      <c r="E13" s="178">
        <v>14000</v>
      </c>
      <c r="F13" s="178">
        <v>88</v>
      </c>
    </row>
    <row r="14" spans="1:6" ht="23.25">
      <c r="A14" s="175">
        <v>10</v>
      </c>
      <c r="B14" s="176">
        <v>17701</v>
      </c>
      <c r="C14" s="177" t="s">
        <v>170</v>
      </c>
      <c r="D14" s="175" t="s">
        <v>171</v>
      </c>
      <c r="E14" s="178">
        <v>23000</v>
      </c>
      <c r="F14" s="178">
        <v>288</v>
      </c>
    </row>
    <row r="15" spans="1:6" ht="23.25">
      <c r="A15" s="175">
        <v>11</v>
      </c>
      <c r="B15" s="176">
        <v>17760</v>
      </c>
      <c r="C15" s="177" t="s">
        <v>172</v>
      </c>
      <c r="D15" s="175" t="s">
        <v>173</v>
      </c>
      <c r="E15" s="178">
        <v>30000</v>
      </c>
      <c r="F15" s="178">
        <v>1125</v>
      </c>
    </row>
    <row r="16" spans="1:6" ht="23.25">
      <c r="A16" s="175">
        <v>12</v>
      </c>
      <c r="B16" s="176">
        <v>17931</v>
      </c>
      <c r="C16" s="177" t="s">
        <v>174</v>
      </c>
      <c r="D16" s="175" t="s">
        <v>175</v>
      </c>
      <c r="E16" s="178">
        <v>40000</v>
      </c>
      <c r="F16" s="178">
        <v>1858</v>
      </c>
    </row>
    <row r="17" spans="1:6" ht="23.25">
      <c r="A17" s="175">
        <v>13</v>
      </c>
      <c r="B17" s="176">
        <v>18079</v>
      </c>
      <c r="C17" s="177" t="s">
        <v>176</v>
      </c>
      <c r="D17" s="175" t="s">
        <v>177</v>
      </c>
      <c r="E17" s="178">
        <v>15000</v>
      </c>
      <c r="F17" s="178">
        <v>750</v>
      </c>
    </row>
    <row r="18" spans="1:6" ht="23.25">
      <c r="A18" s="175">
        <v>14</v>
      </c>
      <c r="B18" s="176">
        <v>18083</v>
      </c>
      <c r="C18" s="177" t="s">
        <v>178</v>
      </c>
      <c r="D18" s="175" t="s">
        <v>155</v>
      </c>
      <c r="E18" s="178">
        <v>10000</v>
      </c>
      <c r="F18" s="178">
        <v>125</v>
      </c>
    </row>
    <row r="19" spans="1:6" ht="23.25">
      <c r="A19" s="175">
        <v>15</v>
      </c>
      <c r="B19" s="176">
        <v>18219</v>
      </c>
      <c r="C19" s="177" t="s">
        <v>179</v>
      </c>
      <c r="D19" s="175" t="s">
        <v>180</v>
      </c>
      <c r="E19" s="178">
        <v>25000</v>
      </c>
      <c r="F19" s="178">
        <v>313</v>
      </c>
    </row>
    <row r="20" spans="1:6" ht="23.25">
      <c r="A20" s="175">
        <v>16</v>
      </c>
      <c r="B20" s="176">
        <v>18259</v>
      </c>
      <c r="C20" s="177" t="s">
        <v>181</v>
      </c>
      <c r="D20" s="175" t="s">
        <v>169</v>
      </c>
      <c r="E20" s="178">
        <v>7000</v>
      </c>
      <c r="F20" s="178">
        <v>88</v>
      </c>
    </row>
    <row r="21" spans="1:6" ht="23.25">
      <c r="A21" s="175">
        <v>17</v>
      </c>
      <c r="B21" s="176">
        <v>18498</v>
      </c>
      <c r="C21" s="177" t="s">
        <v>182</v>
      </c>
      <c r="D21" s="175" t="s">
        <v>183</v>
      </c>
      <c r="E21" s="178">
        <v>13000</v>
      </c>
      <c r="F21" s="178">
        <v>82</v>
      </c>
    </row>
    <row r="22" spans="1:6" ht="23.25">
      <c r="A22" s="175">
        <v>18</v>
      </c>
      <c r="B22" s="176">
        <v>18499</v>
      </c>
      <c r="C22" s="177" t="s">
        <v>184</v>
      </c>
      <c r="D22" s="175" t="s">
        <v>165</v>
      </c>
      <c r="E22" s="178">
        <v>14000</v>
      </c>
      <c r="F22" s="178">
        <v>175</v>
      </c>
    </row>
    <row r="23" spans="1:6" ht="23.25">
      <c r="A23" s="175">
        <v>19</v>
      </c>
      <c r="B23" s="176">
        <v>237770</v>
      </c>
      <c r="C23" s="177" t="s">
        <v>185</v>
      </c>
      <c r="D23" s="175" t="s">
        <v>186</v>
      </c>
      <c r="E23" s="178">
        <v>25000</v>
      </c>
      <c r="F23" s="178">
        <v>1151</v>
      </c>
    </row>
    <row r="24" spans="1:6" ht="23.25">
      <c r="A24" s="175">
        <v>20</v>
      </c>
      <c r="B24" s="176">
        <v>18820</v>
      </c>
      <c r="C24" s="177" t="s">
        <v>187</v>
      </c>
      <c r="D24" s="175" t="s">
        <v>167</v>
      </c>
      <c r="E24" s="178">
        <v>9000</v>
      </c>
      <c r="F24" s="178">
        <v>113</v>
      </c>
    </row>
    <row r="25" spans="1:6" ht="23.25">
      <c r="A25" s="175">
        <v>21</v>
      </c>
      <c r="B25" s="176">
        <v>18820</v>
      </c>
      <c r="C25" s="177" t="s">
        <v>188</v>
      </c>
      <c r="D25" s="175" t="s">
        <v>189</v>
      </c>
      <c r="E25" s="178">
        <v>26000</v>
      </c>
      <c r="F25" s="178">
        <v>163</v>
      </c>
    </row>
    <row r="26" spans="1:6" ht="23.25">
      <c r="A26" s="175">
        <v>22</v>
      </c>
      <c r="B26" s="176">
        <v>18825</v>
      </c>
      <c r="C26" s="177" t="s">
        <v>190</v>
      </c>
      <c r="D26" s="175" t="s">
        <v>167</v>
      </c>
      <c r="E26" s="178">
        <v>15000</v>
      </c>
      <c r="F26" s="178">
        <v>188</v>
      </c>
    </row>
    <row r="27" spans="1:6" ht="23.25">
      <c r="A27" s="175">
        <v>23</v>
      </c>
      <c r="B27" s="176">
        <v>18910</v>
      </c>
      <c r="C27" s="177" t="s">
        <v>191</v>
      </c>
      <c r="D27" s="175" t="s">
        <v>192</v>
      </c>
      <c r="E27" s="178">
        <v>39000</v>
      </c>
      <c r="F27" s="178">
        <v>1219</v>
      </c>
    </row>
    <row r="28" spans="1:6" ht="23.25">
      <c r="A28" s="175">
        <v>24</v>
      </c>
      <c r="B28" s="176">
        <v>18974</v>
      </c>
      <c r="C28" s="177" t="s">
        <v>193</v>
      </c>
      <c r="D28" s="175" t="s">
        <v>194</v>
      </c>
      <c r="E28" s="178">
        <v>25000</v>
      </c>
      <c r="F28" s="178">
        <v>313</v>
      </c>
    </row>
    <row r="29" spans="1:6" ht="23.25">
      <c r="A29" s="175">
        <v>25</v>
      </c>
      <c r="B29" s="176">
        <v>19192</v>
      </c>
      <c r="C29" s="177" t="s">
        <v>195</v>
      </c>
      <c r="D29" s="175" t="s">
        <v>196</v>
      </c>
      <c r="E29" s="178">
        <v>16000</v>
      </c>
      <c r="F29" s="178">
        <v>200</v>
      </c>
    </row>
    <row r="30" spans="1:6" ht="23.25">
      <c r="A30" s="175">
        <v>26</v>
      </c>
      <c r="B30" s="176">
        <v>19202</v>
      </c>
      <c r="C30" s="177" t="s">
        <v>197</v>
      </c>
      <c r="D30" s="175" t="s">
        <v>198</v>
      </c>
      <c r="E30" s="178">
        <v>26000</v>
      </c>
      <c r="F30" s="178">
        <v>325</v>
      </c>
    </row>
    <row r="31" spans="1:6" ht="23.25">
      <c r="A31" s="175">
        <v>27</v>
      </c>
      <c r="B31" s="179">
        <v>19225</v>
      </c>
      <c r="C31" s="180" t="s">
        <v>199</v>
      </c>
      <c r="D31" s="175" t="s">
        <v>189</v>
      </c>
      <c r="E31" s="178">
        <v>15000</v>
      </c>
      <c r="F31" s="178">
        <v>188</v>
      </c>
    </row>
    <row r="33" spans="1:6" ht="23.25">
      <c r="A33" s="172" t="s">
        <v>146</v>
      </c>
      <c r="B33" s="172" t="s">
        <v>147</v>
      </c>
      <c r="C33" s="173" t="s">
        <v>148</v>
      </c>
      <c r="D33" s="172" t="s">
        <v>149</v>
      </c>
      <c r="E33" s="174" t="s">
        <v>150</v>
      </c>
      <c r="F33" s="174" t="s">
        <v>151</v>
      </c>
    </row>
    <row r="34" spans="1:6" ht="23.25">
      <c r="A34" s="175">
        <v>28</v>
      </c>
      <c r="B34" s="176">
        <v>19283</v>
      </c>
      <c r="C34" s="177" t="s">
        <v>200</v>
      </c>
      <c r="D34" s="175" t="s">
        <v>201</v>
      </c>
      <c r="E34" s="178">
        <v>16600</v>
      </c>
      <c r="F34" s="178">
        <v>208</v>
      </c>
    </row>
    <row r="35" spans="1:6" ht="23.25">
      <c r="A35" s="175">
        <v>29</v>
      </c>
      <c r="B35" s="176">
        <v>19288</v>
      </c>
      <c r="C35" s="177" t="s">
        <v>202</v>
      </c>
      <c r="D35" s="175" t="s">
        <v>203</v>
      </c>
      <c r="E35" s="178">
        <v>9000</v>
      </c>
      <c r="F35" s="178">
        <v>225</v>
      </c>
    </row>
    <row r="36" spans="1:6" ht="23.25">
      <c r="A36" s="175">
        <v>30</v>
      </c>
      <c r="B36" s="176">
        <v>19400</v>
      </c>
      <c r="C36" s="177" t="s">
        <v>204</v>
      </c>
      <c r="D36" s="175" t="s">
        <v>205</v>
      </c>
      <c r="E36" s="178">
        <v>25000</v>
      </c>
      <c r="F36" s="178">
        <v>1250</v>
      </c>
    </row>
    <row r="37" spans="1:6" ht="23.25">
      <c r="A37" s="175">
        <v>31</v>
      </c>
      <c r="B37" s="176">
        <v>19429</v>
      </c>
      <c r="C37" s="177" t="s">
        <v>206</v>
      </c>
      <c r="D37" s="175" t="s">
        <v>207</v>
      </c>
      <c r="E37" s="178">
        <v>30000</v>
      </c>
      <c r="F37" s="178">
        <v>375</v>
      </c>
    </row>
    <row r="38" spans="1:6" ht="23.25">
      <c r="A38" s="175">
        <v>32</v>
      </c>
      <c r="B38" s="176">
        <v>19653</v>
      </c>
      <c r="C38" s="177" t="s">
        <v>208</v>
      </c>
      <c r="D38" s="175" t="s">
        <v>209</v>
      </c>
      <c r="E38" s="178">
        <v>50000</v>
      </c>
      <c r="F38" s="178">
        <v>313</v>
      </c>
    </row>
    <row r="39" spans="1:6" ht="23.25">
      <c r="A39" s="175">
        <v>33</v>
      </c>
      <c r="B39" s="176">
        <v>19659</v>
      </c>
      <c r="C39" s="177" t="s">
        <v>210</v>
      </c>
      <c r="D39" s="175" t="s">
        <v>211</v>
      </c>
      <c r="E39" s="178">
        <v>13000</v>
      </c>
      <c r="F39" s="178">
        <v>82</v>
      </c>
    </row>
    <row r="40" spans="1:6" ht="23.25">
      <c r="A40" s="175">
        <v>34</v>
      </c>
      <c r="B40" s="176">
        <v>19661</v>
      </c>
      <c r="C40" s="177" t="s">
        <v>212</v>
      </c>
      <c r="D40" s="175" t="s">
        <v>201</v>
      </c>
      <c r="E40" s="178">
        <v>16600</v>
      </c>
      <c r="F40" s="178">
        <v>104</v>
      </c>
    </row>
    <row r="41" spans="1:6" ht="23.25">
      <c r="A41" s="175">
        <v>35</v>
      </c>
      <c r="B41" s="176">
        <v>19752</v>
      </c>
      <c r="C41" s="177" t="s">
        <v>213</v>
      </c>
      <c r="D41" s="175" t="s">
        <v>214</v>
      </c>
      <c r="E41" s="178">
        <v>20000</v>
      </c>
      <c r="F41" s="178">
        <v>125</v>
      </c>
    </row>
    <row r="42" spans="1:6" ht="23.25">
      <c r="A42" s="175">
        <v>36</v>
      </c>
      <c r="B42" s="176">
        <v>19787</v>
      </c>
      <c r="C42" s="177" t="s">
        <v>215</v>
      </c>
      <c r="D42" s="175" t="s">
        <v>192</v>
      </c>
      <c r="E42" s="178">
        <v>39000</v>
      </c>
      <c r="F42" s="178">
        <v>488</v>
      </c>
    </row>
    <row r="43" spans="1:6" ht="23.25">
      <c r="A43" s="175">
        <v>37</v>
      </c>
      <c r="B43" s="176">
        <v>19976</v>
      </c>
      <c r="C43" s="177" t="s">
        <v>216</v>
      </c>
      <c r="D43" s="175" t="s">
        <v>196</v>
      </c>
      <c r="E43" s="178">
        <v>40000</v>
      </c>
      <c r="F43" s="178">
        <v>250</v>
      </c>
    </row>
    <row r="44" spans="1:6" ht="23.25">
      <c r="A44" s="175">
        <v>38</v>
      </c>
      <c r="B44" s="176">
        <v>239178</v>
      </c>
      <c r="C44" s="177" t="s">
        <v>217</v>
      </c>
      <c r="D44" s="175" t="s">
        <v>218</v>
      </c>
      <c r="E44" s="178">
        <v>13000</v>
      </c>
      <c r="F44" s="178">
        <v>82</v>
      </c>
    </row>
    <row r="45" spans="1:6" ht="23.25">
      <c r="A45" s="175">
        <v>39</v>
      </c>
      <c r="B45" s="176">
        <v>239179</v>
      </c>
      <c r="C45" s="177" t="s">
        <v>219</v>
      </c>
      <c r="D45" s="175" t="s">
        <v>220</v>
      </c>
      <c r="E45" s="178">
        <v>50000</v>
      </c>
      <c r="F45" s="178">
        <v>625</v>
      </c>
    </row>
    <row r="46" spans="1:6" ht="23.25">
      <c r="A46" s="175">
        <v>40</v>
      </c>
      <c r="B46" s="176">
        <v>239185</v>
      </c>
      <c r="C46" s="177" t="s">
        <v>221</v>
      </c>
      <c r="D46" s="175" t="s">
        <v>222</v>
      </c>
      <c r="E46" s="178">
        <v>16600</v>
      </c>
      <c r="F46" s="178">
        <v>104</v>
      </c>
    </row>
    <row r="47" spans="1:6" ht="23.25">
      <c r="A47" s="175">
        <v>41</v>
      </c>
      <c r="B47" s="176">
        <v>239189</v>
      </c>
      <c r="C47" s="177" t="s">
        <v>223</v>
      </c>
      <c r="D47" s="175" t="s">
        <v>224</v>
      </c>
      <c r="E47" s="178">
        <v>15000</v>
      </c>
      <c r="F47" s="178">
        <v>282</v>
      </c>
    </row>
    <row r="48" spans="1:6" ht="23.25">
      <c r="A48" s="175">
        <v>42</v>
      </c>
      <c r="B48" s="176">
        <v>239206</v>
      </c>
      <c r="C48" s="177" t="s">
        <v>225</v>
      </c>
      <c r="D48" s="175" t="s">
        <v>226</v>
      </c>
      <c r="E48" s="178">
        <v>60000</v>
      </c>
      <c r="F48" s="178">
        <v>375</v>
      </c>
    </row>
    <row r="49" spans="1:6" ht="23.25">
      <c r="A49" s="175">
        <v>43</v>
      </c>
      <c r="B49" s="176">
        <v>239308</v>
      </c>
      <c r="C49" s="177" t="s">
        <v>227</v>
      </c>
      <c r="D49" s="175" t="s">
        <v>228</v>
      </c>
      <c r="E49" s="178">
        <v>20000</v>
      </c>
      <c r="F49" s="178">
        <v>125</v>
      </c>
    </row>
    <row r="50" spans="1:6" ht="23.25">
      <c r="A50" s="175">
        <v>44</v>
      </c>
      <c r="B50" s="176">
        <v>239349</v>
      </c>
      <c r="C50" s="177" t="s">
        <v>229</v>
      </c>
      <c r="D50" s="175" t="s">
        <v>230</v>
      </c>
      <c r="E50" s="178">
        <v>39000</v>
      </c>
      <c r="F50" s="178">
        <v>244</v>
      </c>
    </row>
    <row r="51" spans="1:6" ht="23.25">
      <c r="A51" s="175">
        <v>45</v>
      </c>
      <c r="B51" s="176">
        <v>20366</v>
      </c>
      <c r="C51" s="177" t="s">
        <v>370</v>
      </c>
      <c r="D51" s="175" t="s">
        <v>371</v>
      </c>
      <c r="E51" s="178">
        <v>26000</v>
      </c>
      <c r="F51" s="178">
        <v>163</v>
      </c>
    </row>
    <row r="52" spans="1:6" ht="24" thickBot="1">
      <c r="A52" s="284" t="s">
        <v>20</v>
      </c>
      <c r="B52" s="285"/>
      <c r="C52" s="285"/>
      <c r="D52" s="286"/>
      <c r="E52" s="182">
        <f>SUM(E5:E51)</f>
        <v>1253100</v>
      </c>
      <c r="F52" s="182">
        <f>SUM(F5:F51)</f>
        <v>21224</v>
      </c>
    </row>
    <row r="53" spans="1:6" ht="24" thickTop="1">
      <c r="A53" s="183"/>
      <c r="B53" s="183"/>
      <c r="C53" s="183"/>
      <c r="D53" s="183"/>
      <c r="E53" s="183"/>
      <c r="F53" s="183"/>
    </row>
    <row r="54" spans="1:6" ht="23.25">
      <c r="A54" s="183"/>
      <c r="B54" s="183"/>
      <c r="C54" s="183"/>
      <c r="D54" s="183"/>
      <c r="E54" s="183"/>
      <c r="F54" s="183"/>
    </row>
    <row r="55" spans="1:6" ht="23.25">
      <c r="A55" s="183"/>
      <c r="B55" s="183"/>
      <c r="C55" s="183"/>
      <c r="D55" s="183"/>
      <c r="E55" s="183"/>
      <c r="F55" s="183"/>
    </row>
    <row r="56" spans="1:6" ht="23.25">
      <c r="A56" s="283" t="s">
        <v>231</v>
      </c>
      <c r="B56" s="283"/>
      <c r="C56" s="283"/>
      <c r="D56" s="283"/>
      <c r="E56" s="283"/>
      <c r="F56" s="283"/>
    </row>
    <row r="57" spans="1:6" ht="23.25">
      <c r="A57" s="283" t="s">
        <v>232</v>
      </c>
      <c r="B57" s="283"/>
      <c r="C57" s="283"/>
      <c r="D57" s="283"/>
      <c r="E57" s="283"/>
      <c r="F57" s="283"/>
    </row>
    <row r="58" spans="1:6" ht="23.25">
      <c r="A58" s="283" t="s">
        <v>233</v>
      </c>
      <c r="B58" s="283"/>
      <c r="C58" s="283"/>
      <c r="D58" s="283"/>
      <c r="E58" s="283"/>
      <c r="F58" s="283"/>
    </row>
    <row r="59" spans="1:6" ht="23.25">
      <c r="A59" s="183"/>
      <c r="B59" s="183"/>
      <c r="C59" s="183"/>
      <c r="D59" s="183"/>
      <c r="E59" s="183"/>
      <c r="F59" s="183"/>
    </row>
    <row r="60" spans="1:6" ht="23.25">
      <c r="A60" s="183"/>
      <c r="B60" s="183"/>
      <c r="C60" s="183"/>
      <c r="D60" s="183"/>
      <c r="E60" s="183"/>
      <c r="F60" s="183"/>
    </row>
    <row r="61" spans="1:6" ht="23.25">
      <c r="A61" s="183"/>
      <c r="B61" s="183"/>
      <c r="C61" s="183"/>
      <c r="D61" s="183"/>
      <c r="E61" s="183"/>
      <c r="F61" s="183"/>
    </row>
    <row r="62" spans="1:6" ht="23.25">
      <c r="A62" s="183"/>
      <c r="B62" s="183"/>
      <c r="C62" s="183"/>
      <c r="D62" s="183"/>
      <c r="E62" s="183"/>
      <c r="F62" s="183"/>
    </row>
    <row r="63" spans="1:6" ht="23.25">
      <c r="A63" s="183"/>
      <c r="B63" s="183"/>
      <c r="C63" s="183"/>
      <c r="D63" s="183"/>
      <c r="E63" s="183"/>
      <c r="F63" s="183"/>
    </row>
  </sheetData>
  <sheetProtection/>
  <mergeCells count="7">
    <mergeCell ref="A1:F1"/>
    <mergeCell ref="A2:F2"/>
    <mergeCell ref="A57:F57"/>
    <mergeCell ref="A58:F58"/>
    <mergeCell ref="A52:D52"/>
    <mergeCell ref="A56:F56"/>
    <mergeCell ref="A3:F3"/>
  </mergeCells>
  <printOptions/>
  <pageMargins left="0.5118110236220472" right="0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6"/>
  <sheetViews>
    <sheetView view="pageBreakPreview" zoomScaleSheetLayoutView="100" zoomScalePageLayoutView="0" workbookViewId="0" topLeftCell="A1">
      <selection activeCell="C6" sqref="C6"/>
    </sheetView>
  </sheetViews>
  <sheetFormatPr defaultColWidth="9.140625" defaultRowHeight="12.75"/>
  <cols>
    <col min="1" max="1" width="12.28125" style="204" customWidth="1"/>
    <col min="2" max="2" width="33.8515625" style="204" customWidth="1"/>
    <col min="3" max="3" width="38.421875" style="205" customWidth="1"/>
    <col min="4" max="16384" width="9.140625" style="171" customWidth="1"/>
  </cols>
  <sheetData>
    <row r="1" spans="1:5" ht="23.25">
      <c r="A1" s="282" t="s">
        <v>482</v>
      </c>
      <c r="B1" s="282"/>
      <c r="C1" s="282"/>
      <c r="D1" s="70"/>
      <c r="E1" s="70"/>
    </row>
    <row r="2" spans="1:5" ht="23.25">
      <c r="A2" s="282" t="s">
        <v>424</v>
      </c>
      <c r="B2" s="282"/>
      <c r="C2" s="282"/>
      <c r="D2" s="70"/>
      <c r="E2" s="70"/>
    </row>
    <row r="3" spans="1:3" ht="23.25">
      <c r="A3" s="282" t="s">
        <v>280</v>
      </c>
      <c r="B3" s="282"/>
      <c r="C3" s="282"/>
    </row>
    <row r="4" spans="1:3" ht="23.25">
      <c r="A4" s="172" t="s">
        <v>146</v>
      </c>
      <c r="B4" s="172" t="s">
        <v>147</v>
      </c>
      <c r="C4" s="174" t="s">
        <v>292</v>
      </c>
    </row>
    <row r="5" spans="1:3" ht="23.25">
      <c r="A5" s="180">
        <v>1</v>
      </c>
      <c r="B5" s="179">
        <v>235849</v>
      </c>
      <c r="C5" s="198">
        <v>103.54</v>
      </c>
    </row>
    <row r="6" spans="1:3" ht="23.25">
      <c r="A6" s="180">
        <v>2</v>
      </c>
      <c r="B6" s="179">
        <v>236021</v>
      </c>
      <c r="C6" s="198">
        <v>136.72</v>
      </c>
    </row>
    <row r="7" spans="1:3" ht="23.25">
      <c r="A7" s="180">
        <v>3</v>
      </c>
      <c r="B7" s="179">
        <v>236213</v>
      </c>
      <c r="C7" s="198">
        <v>211.02</v>
      </c>
    </row>
    <row r="8" spans="1:3" ht="23.25">
      <c r="A8" s="180">
        <v>4</v>
      </c>
      <c r="B8" s="179">
        <v>236394</v>
      </c>
      <c r="C8" s="198">
        <v>57.48</v>
      </c>
    </row>
    <row r="9" spans="1:3" ht="23.25">
      <c r="A9" s="180">
        <v>5</v>
      </c>
      <c r="B9" s="179">
        <v>236583</v>
      </c>
      <c r="C9" s="198">
        <v>146.63</v>
      </c>
    </row>
    <row r="10" spans="1:3" ht="23.25">
      <c r="A10" s="180">
        <v>6</v>
      </c>
      <c r="B10" s="179">
        <v>236759</v>
      </c>
      <c r="C10" s="260">
        <v>119.2</v>
      </c>
    </row>
    <row r="11" spans="1:3" ht="23.25">
      <c r="A11" s="180">
        <v>7</v>
      </c>
      <c r="B11" s="179">
        <v>236948</v>
      </c>
      <c r="C11" s="260">
        <v>287.6</v>
      </c>
    </row>
    <row r="12" spans="1:3" ht="23.25">
      <c r="A12" s="180">
        <v>8</v>
      </c>
      <c r="B12" s="179">
        <v>237130</v>
      </c>
      <c r="C12" s="198">
        <v>403.22</v>
      </c>
    </row>
    <row r="13" spans="1:3" ht="23.25">
      <c r="A13" s="180">
        <v>9</v>
      </c>
      <c r="B13" s="179">
        <v>237312</v>
      </c>
      <c r="C13" s="199">
        <v>234.17</v>
      </c>
    </row>
    <row r="14" spans="1:3" ht="23.25">
      <c r="A14" s="180">
        <v>10</v>
      </c>
      <c r="B14" s="179">
        <v>18348</v>
      </c>
      <c r="C14" s="199">
        <v>254.88</v>
      </c>
    </row>
    <row r="15" spans="1:3" ht="23.25">
      <c r="A15" s="180">
        <v>11</v>
      </c>
      <c r="B15" s="179">
        <v>237676</v>
      </c>
      <c r="C15" s="199">
        <v>346.72</v>
      </c>
    </row>
    <row r="16" spans="1:3" ht="23.25">
      <c r="A16" s="180">
        <v>12</v>
      </c>
      <c r="B16" s="179">
        <v>237857</v>
      </c>
      <c r="C16" s="199">
        <v>339.62</v>
      </c>
    </row>
    <row r="17" spans="1:3" ht="23.25">
      <c r="A17" s="180">
        <v>13</v>
      </c>
      <c r="B17" s="179">
        <v>238039</v>
      </c>
      <c r="C17" s="199">
        <v>342.47</v>
      </c>
    </row>
    <row r="18" spans="1:3" ht="23.25">
      <c r="A18" s="180">
        <v>14</v>
      </c>
      <c r="B18" s="179">
        <v>238222</v>
      </c>
      <c r="C18" s="199">
        <v>358.51</v>
      </c>
    </row>
    <row r="19" spans="1:3" ht="23.25">
      <c r="A19" s="180">
        <v>15</v>
      </c>
      <c r="B19" s="179">
        <v>238404</v>
      </c>
      <c r="C19" s="199">
        <v>183.56</v>
      </c>
    </row>
    <row r="20" spans="1:3" ht="23.25">
      <c r="A20" s="180">
        <v>16</v>
      </c>
      <c r="B20" s="179">
        <v>238586</v>
      </c>
      <c r="C20" s="199">
        <v>249.47</v>
      </c>
    </row>
    <row r="21" spans="1:3" ht="23.25">
      <c r="A21" s="180">
        <v>17</v>
      </c>
      <c r="B21" s="179">
        <v>238775</v>
      </c>
      <c r="C21" s="199">
        <v>221.32</v>
      </c>
    </row>
    <row r="22" spans="1:3" ht="23.25">
      <c r="A22" s="180">
        <v>18</v>
      </c>
      <c r="B22" s="179">
        <v>238949</v>
      </c>
      <c r="C22" s="199">
        <v>207.96</v>
      </c>
    </row>
    <row r="23" spans="1:3" ht="23.25">
      <c r="A23" s="180">
        <v>19</v>
      </c>
      <c r="B23" s="179">
        <v>239138</v>
      </c>
      <c r="C23" s="199">
        <v>487.4</v>
      </c>
    </row>
    <row r="24" spans="1:3" ht="23.25">
      <c r="A24" s="180">
        <v>20</v>
      </c>
      <c r="B24" s="179">
        <v>239320</v>
      </c>
      <c r="C24" s="199">
        <v>323.86</v>
      </c>
    </row>
    <row r="25" spans="1:3" ht="23.25">
      <c r="A25" s="180">
        <v>21</v>
      </c>
      <c r="B25" s="179">
        <v>239507</v>
      </c>
      <c r="C25" s="199">
        <v>369.85</v>
      </c>
    </row>
    <row r="26" spans="1:3" ht="23.25">
      <c r="A26" s="180">
        <v>22</v>
      </c>
      <c r="B26" s="179">
        <v>239691</v>
      </c>
      <c r="C26" s="199">
        <v>451.52</v>
      </c>
    </row>
    <row r="27" spans="1:3" ht="23.25">
      <c r="A27" s="180">
        <v>23</v>
      </c>
      <c r="B27" s="179">
        <v>239872</v>
      </c>
      <c r="C27" s="199">
        <v>358.8</v>
      </c>
    </row>
    <row r="28" spans="1:3" ht="24" thickBot="1">
      <c r="A28" s="284" t="s">
        <v>20</v>
      </c>
      <c r="B28" s="286"/>
      <c r="C28" s="200">
        <f>SUM(C5:C27)</f>
        <v>6195.5199999999995</v>
      </c>
    </row>
    <row r="29" spans="1:3" ht="24" thickTop="1">
      <c r="A29" s="195"/>
      <c r="B29" s="195"/>
      <c r="C29" s="201"/>
    </row>
    <row r="30" spans="1:3" ht="23.25">
      <c r="A30" s="289" t="s">
        <v>290</v>
      </c>
      <c r="B30" s="289"/>
      <c r="C30" s="289"/>
    </row>
    <row r="31" spans="1:3" ht="23.25">
      <c r="A31" s="288" t="s">
        <v>289</v>
      </c>
      <c r="B31" s="288"/>
      <c r="C31" s="288"/>
    </row>
    <row r="32" spans="1:3" ht="23.25">
      <c r="A32" s="283" t="s">
        <v>288</v>
      </c>
      <c r="B32" s="283"/>
      <c r="C32" s="283"/>
    </row>
    <row r="33" spans="1:3" ht="23.25">
      <c r="A33" s="202"/>
      <c r="B33" s="202"/>
      <c r="C33" s="203"/>
    </row>
    <row r="34" spans="1:3" ht="23.25">
      <c r="A34" s="171"/>
      <c r="B34" s="171"/>
      <c r="C34" s="171"/>
    </row>
    <row r="35" spans="1:3" ht="23.25">
      <c r="A35" s="171"/>
      <c r="B35" s="171"/>
      <c r="C35" s="171"/>
    </row>
    <row r="36" spans="1:3" ht="23.25">
      <c r="A36" s="171"/>
      <c r="B36" s="171"/>
      <c r="C36" s="171"/>
    </row>
  </sheetData>
  <sheetProtection/>
  <mergeCells count="7">
    <mergeCell ref="A31:C31"/>
    <mergeCell ref="A32:C32"/>
    <mergeCell ref="A3:C3"/>
    <mergeCell ref="A28:B28"/>
    <mergeCell ref="A1:C1"/>
    <mergeCell ref="A2:C2"/>
    <mergeCell ref="A30:C30"/>
  </mergeCells>
  <printOptions/>
  <pageMargins left="0.984251968503937" right="0.5905511811023623" top="0.5905511811023623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789"/>
  <sheetViews>
    <sheetView view="pageBreakPreview" zoomScaleSheetLayoutView="100" zoomScalePageLayoutView="0" workbookViewId="0" topLeftCell="A115">
      <selection activeCell="C132" sqref="C132"/>
    </sheetView>
  </sheetViews>
  <sheetFormatPr defaultColWidth="9.140625" defaultRowHeight="19.5" customHeight="1"/>
  <cols>
    <col min="1" max="1" width="12.28125" style="4" customWidth="1"/>
    <col min="2" max="2" width="11.7109375" style="1" customWidth="1"/>
    <col min="3" max="3" width="56.421875" style="1" customWidth="1"/>
    <col min="4" max="4" width="8.28125" style="2" customWidth="1"/>
    <col min="5" max="5" width="12.421875" style="4" customWidth="1"/>
    <col min="6" max="6" width="11.421875" style="1" customWidth="1"/>
    <col min="7" max="7" width="20.8515625" style="1" customWidth="1"/>
    <col min="8" max="8" width="45.7109375" style="1" customWidth="1"/>
    <col min="9" max="16384" width="9.140625" style="1" customWidth="1"/>
  </cols>
  <sheetData>
    <row r="1" spans="1:5" ht="19.5" customHeight="1">
      <c r="A1" s="24" t="s">
        <v>35</v>
      </c>
      <c r="B1" s="24"/>
      <c r="C1" s="294" t="s">
        <v>400</v>
      </c>
      <c r="D1" s="294"/>
      <c r="E1" s="294"/>
    </row>
    <row r="2" spans="1:5" ht="19.5" customHeight="1">
      <c r="A2" s="293" t="s">
        <v>21</v>
      </c>
      <c r="B2" s="293"/>
      <c r="C2" s="293"/>
      <c r="D2" s="293"/>
      <c r="E2" s="293"/>
    </row>
    <row r="3" spans="1:5" ht="19.5" customHeight="1">
      <c r="A3" s="293" t="s">
        <v>489</v>
      </c>
      <c r="B3" s="293"/>
      <c r="C3" s="293"/>
      <c r="D3" s="293"/>
      <c r="E3" s="293"/>
    </row>
    <row r="4" spans="1:5" ht="19.5" customHeight="1">
      <c r="A4" s="295" t="s">
        <v>22</v>
      </c>
      <c r="B4" s="296"/>
      <c r="C4" s="297" t="s">
        <v>25</v>
      </c>
      <c r="D4" s="9"/>
      <c r="E4" s="26" t="s">
        <v>28</v>
      </c>
    </row>
    <row r="5" spans="1:5" ht="19.5" customHeight="1">
      <c r="A5" s="27" t="s">
        <v>23</v>
      </c>
      <c r="B5" s="28" t="s">
        <v>24</v>
      </c>
      <c r="C5" s="298"/>
      <c r="D5" s="10" t="s">
        <v>26</v>
      </c>
      <c r="E5" s="27" t="s">
        <v>24</v>
      </c>
    </row>
    <row r="6" spans="1:5" ht="19.5" customHeight="1">
      <c r="A6" s="29" t="s">
        <v>29</v>
      </c>
      <c r="B6" s="30" t="s">
        <v>29</v>
      </c>
      <c r="C6" s="299"/>
      <c r="D6" s="10" t="s">
        <v>27</v>
      </c>
      <c r="E6" s="29" t="s">
        <v>29</v>
      </c>
    </row>
    <row r="7" spans="1:5" ht="19.5" customHeight="1">
      <c r="A7" s="31"/>
      <c r="B7" s="31">
        <v>30553653.23</v>
      </c>
      <c r="C7" s="32" t="s">
        <v>30</v>
      </c>
      <c r="D7" s="10"/>
      <c r="E7" s="11">
        <v>38338691.05</v>
      </c>
    </row>
    <row r="8" spans="1:5" ht="19.5" customHeight="1">
      <c r="A8" s="11"/>
      <c r="B8" s="33"/>
      <c r="C8" s="32" t="s">
        <v>58</v>
      </c>
      <c r="D8" s="10"/>
      <c r="E8" s="11"/>
    </row>
    <row r="9" spans="1:5" ht="19.5" customHeight="1">
      <c r="A9" s="34">
        <v>257000</v>
      </c>
      <c r="B9" s="34">
        <f>507+343.88+20029.2</f>
        <v>20880.08</v>
      </c>
      <c r="C9" s="6" t="s">
        <v>41</v>
      </c>
      <c r="D9" s="10" t="s">
        <v>385</v>
      </c>
      <c r="E9" s="11">
        <v>20029.2</v>
      </c>
    </row>
    <row r="10" spans="1:5" ht="19.5" customHeight="1">
      <c r="A10" s="34">
        <v>82000</v>
      </c>
      <c r="B10" s="34">
        <f>6344.4+25977+5097.2</f>
        <v>37418.6</v>
      </c>
      <c r="C10" s="6" t="s">
        <v>44</v>
      </c>
      <c r="D10" s="10" t="s">
        <v>386</v>
      </c>
      <c r="E10" s="11">
        <v>5097.2</v>
      </c>
    </row>
    <row r="11" spans="1:5" ht="19.5" customHeight="1">
      <c r="A11" s="34">
        <v>250000</v>
      </c>
      <c r="B11" s="34">
        <f>10716.44+70513.24+2794.93</f>
        <v>84024.61</v>
      </c>
      <c r="C11" s="6" t="s">
        <v>45</v>
      </c>
      <c r="D11" s="10" t="s">
        <v>387</v>
      </c>
      <c r="E11" s="35">
        <v>2794.93</v>
      </c>
    </row>
    <row r="12" spans="1:5" ht="19.5" customHeight="1">
      <c r="A12" s="34">
        <v>33500</v>
      </c>
      <c r="B12" s="34">
        <f>500+59300</f>
        <v>59800</v>
      </c>
      <c r="C12" s="6" t="s">
        <v>47</v>
      </c>
      <c r="D12" s="10" t="s">
        <v>388</v>
      </c>
      <c r="E12" s="35">
        <v>59300</v>
      </c>
    </row>
    <row r="13" spans="1:5" ht="19.5" customHeight="1">
      <c r="A13" s="34">
        <v>1000</v>
      </c>
      <c r="B13" s="34">
        <f>535</f>
        <v>535</v>
      </c>
      <c r="C13" s="6" t="s">
        <v>81</v>
      </c>
      <c r="D13" s="10" t="s">
        <v>389</v>
      </c>
      <c r="E13" s="35">
        <v>0</v>
      </c>
    </row>
    <row r="14" spans="1:5" ht="19.5" customHeight="1">
      <c r="A14" s="34">
        <v>13570000</v>
      </c>
      <c r="B14" s="34">
        <f>2374609.43+634110.34+644075.61</f>
        <v>3652795.38</v>
      </c>
      <c r="C14" s="6" t="s">
        <v>49</v>
      </c>
      <c r="D14" s="10" t="s">
        <v>390</v>
      </c>
      <c r="E14" s="35">
        <v>644075.61</v>
      </c>
    </row>
    <row r="15" spans="1:5" ht="19.5" customHeight="1">
      <c r="A15" s="138">
        <v>8307200</v>
      </c>
      <c r="B15" s="106">
        <f>7732013+567440</f>
        <v>8299453</v>
      </c>
      <c r="C15" s="6" t="s">
        <v>136</v>
      </c>
      <c r="D15" s="10" t="s">
        <v>391</v>
      </c>
      <c r="E15" s="35">
        <v>567440</v>
      </c>
    </row>
    <row r="16" spans="1:5" ht="19.5" customHeight="1">
      <c r="A16" s="84">
        <f>SUM(A9:A15)</f>
        <v>22500700</v>
      </c>
      <c r="B16" s="84">
        <f>SUM(B9:B15)</f>
        <v>12154906.67</v>
      </c>
      <c r="C16" s="81" t="s">
        <v>20</v>
      </c>
      <c r="D16" s="85"/>
      <c r="E16" s="86">
        <f>SUM(E9:E15)</f>
        <v>1298736.94</v>
      </c>
    </row>
    <row r="17" spans="1:5" ht="19.5" customHeight="1">
      <c r="A17" s="87"/>
      <c r="B17" s="34">
        <f>1000+33200+19000+799250</f>
        <v>852450</v>
      </c>
      <c r="C17" s="6" t="s">
        <v>37</v>
      </c>
      <c r="D17" s="10" t="s">
        <v>392</v>
      </c>
      <c r="E17" s="11">
        <v>799250</v>
      </c>
    </row>
    <row r="18" spans="1:5" ht="19.5" customHeight="1">
      <c r="A18" s="87"/>
      <c r="B18" s="34">
        <f>1951300+56160</f>
        <v>2007460</v>
      </c>
      <c r="C18" s="6" t="s">
        <v>127</v>
      </c>
      <c r="D18" s="10" t="s">
        <v>396</v>
      </c>
      <c r="E18" s="11">
        <v>56160</v>
      </c>
    </row>
    <row r="19" spans="1:5" ht="19.5" customHeight="1">
      <c r="A19" s="87"/>
      <c r="B19" s="34">
        <f>126000+140000+189000+130000</f>
        <v>585000</v>
      </c>
      <c r="C19" s="6" t="s">
        <v>382</v>
      </c>
      <c r="D19" s="10" t="s">
        <v>393</v>
      </c>
      <c r="E19" s="11">
        <v>130000</v>
      </c>
    </row>
    <row r="20" spans="1:5" ht="19.5" customHeight="1">
      <c r="A20" s="87"/>
      <c r="B20" s="34">
        <f>6750</f>
        <v>6750</v>
      </c>
      <c r="C20" s="6" t="s">
        <v>446</v>
      </c>
      <c r="D20" s="10" t="s">
        <v>419</v>
      </c>
      <c r="E20" s="11">
        <v>0</v>
      </c>
    </row>
    <row r="21" spans="1:5" ht="19.5" customHeight="1">
      <c r="A21" s="87"/>
      <c r="B21" s="34">
        <f>3360600</f>
        <v>3360600</v>
      </c>
      <c r="C21" s="6" t="s">
        <v>456</v>
      </c>
      <c r="D21" s="10" t="s">
        <v>458</v>
      </c>
      <c r="E21" s="11">
        <v>0</v>
      </c>
    </row>
    <row r="22" spans="1:5" ht="19.5" customHeight="1">
      <c r="A22" s="87"/>
      <c r="B22" s="34">
        <f>455000</f>
        <v>455000</v>
      </c>
      <c r="C22" s="6" t="s">
        <v>466</v>
      </c>
      <c r="D22" s="10" t="s">
        <v>458</v>
      </c>
      <c r="E22" s="11">
        <v>0</v>
      </c>
    </row>
    <row r="23" spans="1:5" ht="19.5" customHeight="1">
      <c r="A23" s="87"/>
      <c r="B23" s="34"/>
      <c r="C23" s="6" t="s">
        <v>467</v>
      </c>
      <c r="D23" s="10"/>
      <c r="E23" s="11"/>
    </row>
    <row r="24" spans="1:5" ht="19.5" customHeight="1">
      <c r="A24" s="87"/>
      <c r="B24" s="34">
        <f>75060</f>
        <v>75060</v>
      </c>
      <c r="C24" s="6" t="s">
        <v>492</v>
      </c>
      <c r="D24" s="10" t="s">
        <v>493</v>
      </c>
      <c r="E24" s="11">
        <v>75060</v>
      </c>
    </row>
    <row r="25" spans="1:5" ht="19.5" customHeight="1">
      <c r="A25" s="11"/>
      <c r="B25" s="34">
        <f>16046.56+10836.82+70048.95</f>
        <v>96932.32999999999</v>
      </c>
      <c r="C25" s="6" t="s">
        <v>140</v>
      </c>
      <c r="D25" s="10" t="s">
        <v>394</v>
      </c>
      <c r="E25" s="11">
        <v>70048.95</v>
      </c>
    </row>
    <row r="26" spans="1:5" ht="19.5" customHeight="1">
      <c r="A26" s="38"/>
      <c r="B26" s="36">
        <f>SUM(B17:B25)</f>
        <v>7439252.33</v>
      </c>
      <c r="C26" s="6"/>
      <c r="D26" s="10"/>
      <c r="E26" s="37">
        <f>SUM(E17:E25)</f>
        <v>1130518.95</v>
      </c>
    </row>
    <row r="27" spans="1:5" ht="19.5" customHeight="1">
      <c r="A27" s="11"/>
      <c r="B27" s="36">
        <f>SUM(B26,B16)</f>
        <v>19594159</v>
      </c>
      <c r="C27" s="8" t="s">
        <v>31</v>
      </c>
      <c r="D27" s="10"/>
      <c r="E27" s="37">
        <f>SUM(E26,E16)</f>
        <v>2429255.8899999997</v>
      </c>
    </row>
    <row r="28" spans="1:5" ht="19.5" customHeight="1">
      <c r="A28" s="23"/>
      <c r="B28" s="39"/>
      <c r="C28" s="40"/>
      <c r="D28" s="12"/>
      <c r="E28" s="23"/>
    </row>
    <row r="29" spans="1:5" ht="19.5" customHeight="1">
      <c r="A29" s="23"/>
      <c r="B29" s="39"/>
      <c r="C29" s="40"/>
      <c r="D29" s="12"/>
      <c r="E29" s="23"/>
    </row>
    <row r="30" spans="1:5" ht="19.5" customHeight="1">
      <c r="A30" s="23"/>
      <c r="B30" s="39"/>
      <c r="C30" s="40"/>
      <c r="D30" s="12"/>
      <c r="E30" s="23"/>
    </row>
    <row r="31" spans="1:5" ht="19.5" customHeight="1">
      <c r="A31" s="23"/>
      <c r="B31" s="39"/>
      <c r="C31" s="40"/>
      <c r="D31" s="12"/>
      <c r="E31" s="23"/>
    </row>
    <row r="32" spans="1:5" ht="19.5" customHeight="1">
      <c r="A32" s="23"/>
      <c r="B32" s="39"/>
      <c r="C32" s="40"/>
      <c r="D32" s="12"/>
      <c r="E32" s="23"/>
    </row>
    <row r="33" spans="1:5" ht="19.5" customHeight="1">
      <c r="A33" s="23"/>
      <c r="B33" s="39"/>
      <c r="C33" s="40"/>
      <c r="D33" s="12"/>
      <c r="E33" s="23"/>
    </row>
    <row r="34" spans="1:5" ht="19.5" customHeight="1">
      <c r="A34" s="23"/>
      <c r="B34" s="39"/>
      <c r="C34" s="40"/>
      <c r="D34" s="12"/>
      <c r="E34" s="23"/>
    </row>
    <row r="35" spans="1:5" ht="19.5" customHeight="1">
      <c r="A35" s="23"/>
      <c r="B35" s="39"/>
      <c r="C35" s="40"/>
      <c r="D35" s="12"/>
      <c r="E35" s="23"/>
    </row>
    <row r="36" spans="1:5" ht="19.5" customHeight="1">
      <c r="A36" s="23"/>
      <c r="B36" s="39"/>
      <c r="C36" s="40"/>
      <c r="D36" s="12"/>
      <c r="E36" s="23"/>
    </row>
    <row r="37" spans="1:5" ht="19.5" customHeight="1">
      <c r="A37" s="23"/>
      <c r="B37" s="39"/>
      <c r="C37" s="40"/>
      <c r="D37" s="12"/>
      <c r="E37" s="23"/>
    </row>
    <row r="38" spans="1:5" ht="19.5" customHeight="1">
      <c r="A38" s="23"/>
      <c r="B38" s="39"/>
      <c r="C38" s="40"/>
      <c r="D38" s="12"/>
      <c r="E38" s="23"/>
    </row>
    <row r="39" spans="1:5" ht="19.5" customHeight="1">
      <c r="A39" s="23"/>
      <c r="B39" s="39"/>
      <c r="C39" s="40"/>
      <c r="D39" s="12"/>
      <c r="E39" s="23"/>
    </row>
    <row r="40" spans="1:5" ht="19.5" customHeight="1">
      <c r="A40" s="23"/>
      <c r="B40" s="39"/>
      <c r="C40" s="40"/>
      <c r="D40" s="12"/>
      <c r="E40" s="23"/>
    </row>
    <row r="41" spans="1:5" ht="19.5" customHeight="1">
      <c r="A41" s="23"/>
      <c r="B41" s="39"/>
      <c r="C41" s="40"/>
      <c r="D41" s="12"/>
      <c r="E41" s="23"/>
    </row>
    <row r="42" spans="1:5" ht="19.5" customHeight="1">
      <c r="A42" s="23"/>
      <c r="B42" s="39"/>
      <c r="C42" s="40"/>
      <c r="D42" s="12"/>
      <c r="E42" s="23"/>
    </row>
    <row r="43" spans="1:5" ht="16.5" customHeight="1">
      <c r="A43" s="23"/>
      <c r="B43" s="39"/>
      <c r="C43" s="40" t="s">
        <v>36</v>
      </c>
      <c r="D43" s="12"/>
      <c r="E43" s="23"/>
    </row>
    <row r="44" spans="1:5" ht="16.5" customHeight="1">
      <c r="A44" s="41"/>
      <c r="B44" s="42"/>
      <c r="C44" s="43" t="s">
        <v>34</v>
      </c>
      <c r="D44" s="9"/>
      <c r="E44" s="31"/>
    </row>
    <row r="45" spans="1:5" ht="16.5" customHeight="1">
      <c r="A45" s="11">
        <v>673730</v>
      </c>
      <c r="B45" s="44">
        <f>155395+94960+129628</f>
        <v>379983</v>
      </c>
      <c r="C45" s="6" t="s">
        <v>32</v>
      </c>
      <c r="D45" s="10" t="s">
        <v>296</v>
      </c>
      <c r="E45" s="44">
        <v>129628</v>
      </c>
    </row>
    <row r="46" spans="1:5" ht="16.5" customHeight="1">
      <c r="A46" s="11">
        <v>3013300</v>
      </c>
      <c r="B46" s="44">
        <f>243060+243060+243060+243060</f>
        <v>972240</v>
      </c>
      <c r="C46" s="6" t="s">
        <v>376</v>
      </c>
      <c r="D46" s="10" t="s">
        <v>302</v>
      </c>
      <c r="E46" s="44">
        <v>243060</v>
      </c>
    </row>
    <row r="47" spans="1:5" ht="16.5" customHeight="1">
      <c r="A47" s="35">
        <v>3706500</v>
      </c>
      <c r="B47" s="44">
        <f>254365+254765+256875+408359</f>
        <v>1174364</v>
      </c>
      <c r="C47" s="6" t="s">
        <v>377</v>
      </c>
      <c r="D47" s="10" t="s">
        <v>309</v>
      </c>
      <c r="E47" s="44">
        <v>408359</v>
      </c>
    </row>
    <row r="48" spans="1:5" ht="16.5" customHeight="1">
      <c r="A48" s="91">
        <v>150000</v>
      </c>
      <c r="B48" s="44">
        <f>11780+11780+11780+11780</f>
        <v>47120</v>
      </c>
      <c r="C48" s="6" t="s">
        <v>378</v>
      </c>
      <c r="D48" s="10" t="s">
        <v>309</v>
      </c>
      <c r="E48" s="44">
        <v>11780</v>
      </c>
    </row>
    <row r="49" spans="1:5" ht="16.5" customHeight="1">
      <c r="A49" s="11">
        <v>1204000</v>
      </c>
      <c r="B49" s="44">
        <f>96760+96760+87760+87760</f>
        <v>369040</v>
      </c>
      <c r="C49" s="6" t="s">
        <v>379</v>
      </c>
      <c r="D49" s="10" t="s">
        <v>309</v>
      </c>
      <c r="E49" s="44">
        <v>87760</v>
      </c>
    </row>
    <row r="50" spans="1:5" ht="16.5" customHeight="1">
      <c r="A50" s="11">
        <v>1493000</v>
      </c>
      <c r="B50" s="44">
        <f>16590+58549+13750+31100</f>
        <v>119989</v>
      </c>
      <c r="C50" s="6" t="s">
        <v>6</v>
      </c>
      <c r="D50" s="10" t="s">
        <v>318</v>
      </c>
      <c r="E50" s="44">
        <v>31100</v>
      </c>
    </row>
    <row r="51" spans="1:5" ht="16.5" customHeight="1">
      <c r="A51" s="11">
        <v>2700000</v>
      </c>
      <c r="B51" s="44">
        <f>16870+100855+79767.24+465658</f>
        <v>663150.24</v>
      </c>
      <c r="C51" s="6" t="s">
        <v>7</v>
      </c>
      <c r="D51" s="10" t="s">
        <v>324</v>
      </c>
      <c r="E51" s="44">
        <v>465658</v>
      </c>
    </row>
    <row r="52" spans="1:5" ht="16.5" customHeight="1">
      <c r="A52" s="11">
        <v>2025270</v>
      </c>
      <c r="B52" s="44">
        <f>21200+43480+144283.72+108082.06</f>
        <v>317045.78</v>
      </c>
      <c r="C52" s="6" t="s">
        <v>8</v>
      </c>
      <c r="D52" s="10" t="s">
        <v>329</v>
      </c>
      <c r="E52" s="44">
        <v>108082.06</v>
      </c>
    </row>
    <row r="53" spans="1:5" ht="16.5" customHeight="1">
      <c r="A53" s="11">
        <v>346000</v>
      </c>
      <c r="B53" s="44">
        <f>20506.5+19185.76+17997.08+15910.97</f>
        <v>73600.31</v>
      </c>
      <c r="C53" s="6" t="s">
        <v>9</v>
      </c>
      <c r="D53" s="10" t="s">
        <v>342</v>
      </c>
      <c r="E53" s="44">
        <v>15910.97</v>
      </c>
    </row>
    <row r="54" spans="1:5" ht="16.5" customHeight="1">
      <c r="A54" s="11">
        <v>298000</v>
      </c>
      <c r="B54" s="44">
        <f>19000</f>
        <v>19000</v>
      </c>
      <c r="C54" s="6" t="s">
        <v>55</v>
      </c>
      <c r="D54" s="10" t="s">
        <v>348</v>
      </c>
      <c r="E54" s="44">
        <v>0</v>
      </c>
    </row>
    <row r="55" spans="1:5" ht="16.5" customHeight="1">
      <c r="A55" s="11">
        <v>4561900</v>
      </c>
      <c r="B55" s="44">
        <v>0</v>
      </c>
      <c r="C55" s="6" t="s">
        <v>56</v>
      </c>
      <c r="D55" s="10" t="s">
        <v>357</v>
      </c>
      <c r="E55" s="44">
        <v>0</v>
      </c>
    </row>
    <row r="56" spans="1:5" ht="16.5" customHeight="1">
      <c r="A56" s="11">
        <v>2304000</v>
      </c>
      <c r="B56" s="44">
        <f>1058000+9000</f>
        <v>1067000</v>
      </c>
      <c r="C56" s="6" t="s">
        <v>33</v>
      </c>
      <c r="D56" s="10" t="s">
        <v>361</v>
      </c>
      <c r="E56" s="44">
        <v>0</v>
      </c>
    </row>
    <row r="57" spans="1:5" ht="16.5" customHeight="1">
      <c r="A57" s="11">
        <v>25000</v>
      </c>
      <c r="B57" s="44">
        <v>0</v>
      </c>
      <c r="C57" s="6" t="s">
        <v>426</v>
      </c>
      <c r="D57" s="10" t="s">
        <v>365</v>
      </c>
      <c r="E57" s="44">
        <v>0</v>
      </c>
    </row>
    <row r="58" spans="1:5" ht="16.5" customHeight="1">
      <c r="A58" s="37">
        <f>SUM(A45:A57)</f>
        <v>22500700</v>
      </c>
      <c r="B58" s="45">
        <f>SUM(B45:B57)</f>
        <v>5202532.33</v>
      </c>
      <c r="C58" s="6"/>
      <c r="D58" s="10"/>
      <c r="E58" s="37">
        <f>SUM(E45:E57)</f>
        <v>1501338.03</v>
      </c>
    </row>
    <row r="59" spans="1:5" ht="16.5" customHeight="1">
      <c r="A59" s="11"/>
      <c r="B59" s="44">
        <f>1678800+554100</f>
        <v>2232900</v>
      </c>
      <c r="C59" s="6" t="s">
        <v>456</v>
      </c>
      <c r="D59" s="10" t="s">
        <v>458</v>
      </c>
      <c r="E59" s="11">
        <v>554100</v>
      </c>
    </row>
    <row r="60" spans="1:5" ht="16.5" customHeight="1">
      <c r="A60" s="11"/>
      <c r="B60" s="44">
        <f>272000+89500</f>
        <v>361500</v>
      </c>
      <c r="C60" s="6" t="s">
        <v>466</v>
      </c>
      <c r="D60" s="10" t="s">
        <v>458</v>
      </c>
      <c r="E60" s="11">
        <v>89500</v>
      </c>
    </row>
    <row r="61" spans="1:5" ht="16.5" customHeight="1">
      <c r="A61" s="11"/>
      <c r="B61" s="44"/>
      <c r="C61" s="6" t="s">
        <v>467</v>
      </c>
      <c r="D61" s="10"/>
      <c r="E61" s="11"/>
    </row>
    <row r="62" spans="1:5" ht="16.5" customHeight="1">
      <c r="A62" s="11"/>
      <c r="B62" s="44">
        <f>72000</f>
        <v>72000</v>
      </c>
      <c r="C62" s="6" t="s">
        <v>490</v>
      </c>
      <c r="D62" s="10" t="s">
        <v>478</v>
      </c>
      <c r="E62" s="11">
        <v>72000</v>
      </c>
    </row>
    <row r="63" spans="1:5" ht="16.5" customHeight="1">
      <c r="A63" s="11"/>
      <c r="B63" s="44">
        <f>3060</f>
        <v>3060</v>
      </c>
      <c r="C63" s="6" t="s">
        <v>491</v>
      </c>
      <c r="D63" s="10" t="s">
        <v>478</v>
      </c>
      <c r="E63" s="11">
        <v>3060</v>
      </c>
    </row>
    <row r="64" spans="1:5" ht="16.5" customHeight="1">
      <c r="A64" s="11"/>
      <c r="B64" s="44">
        <f>1000+37200+15000+806850</f>
        <v>860050</v>
      </c>
      <c r="C64" s="6" t="s">
        <v>37</v>
      </c>
      <c r="D64" s="10" t="s">
        <v>392</v>
      </c>
      <c r="E64" s="11">
        <v>806850</v>
      </c>
    </row>
    <row r="65" spans="1:5" ht="16.5" customHeight="1">
      <c r="A65" s="11"/>
      <c r="B65" s="44">
        <f>840000+383000</f>
        <v>1223000</v>
      </c>
      <c r="C65" s="6" t="s">
        <v>10</v>
      </c>
      <c r="D65" s="10" t="s">
        <v>468</v>
      </c>
      <c r="E65" s="11">
        <v>383000</v>
      </c>
    </row>
    <row r="66" spans="1:5" ht="16.5" customHeight="1">
      <c r="A66" s="11"/>
      <c r="B66" s="44">
        <f>50000+255000+139000+180000</f>
        <v>624000</v>
      </c>
      <c r="C66" s="6" t="s">
        <v>382</v>
      </c>
      <c r="D66" s="10" t="s">
        <v>393</v>
      </c>
      <c r="E66" s="44">
        <v>180000</v>
      </c>
    </row>
    <row r="67" spans="1:5" ht="16.5" customHeight="1">
      <c r="A67" s="11"/>
      <c r="B67" s="44">
        <f>10760.56+10804.7+79973.73</f>
        <v>101538.98999999999</v>
      </c>
      <c r="C67" s="6" t="s">
        <v>142</v>
      </c>
      <c r="D67" s="10" t="s">
        <v>394</v>
      </c>
      <c r="E67" s="44">
        <v>79973.73</v>
      </c>
    </row>
    <row r="68" spans="1:5" ht="16.5" customHeight="1">
      <c r="A68" s="11"/>
      <c r="B68" s="44">
        <f>112465.73+249900</f>
        <v>362365.73</v>
      </c>
      <c r="C68" s="6" t="s">
        <v>143</v>
      </c>
      <c r="D68" s="10" t="s">
        <v>395</v>
      </c>
      <c r="E68" s="44">
        <v>0</v>
      </c>
    </row>
    <row r="69" spans="1:5" ht="16.5" customHeight="1">
      <c r="A69" s="11"/>
      <c r="B69" s="44">
        <f>669100+669820+667820+720</f>
        <v>2007460</v>
      </c>
      <c r="C69" s="6" t="s">
        <v>127</v>
      </c>
      <c r="D69" s="10" t="s">
        <v>396</v>
      </c>
      <c r="E69" s="44">
        <v>720</v>
      </c>
    </row>
    <row r="70" spans="1:5" ht="16.5" customHeight="1">
      <c r="A70" s="11"/>
      <c r="B70" s="36">
        <f>SUM(B59:B69)</f>
        <v>7847874.720000001</v>
      </c>
      <c r="C70" s="6"/>
      <c r="D70" s="10"/>
      <c r="E70" s="37">
        <f>SUM(E59:E69)</f>
        <v>2169203.73</v>
      </c>
    </row>
    <row r="71" spans="1:5" ht="16.5" customHeight="1">
      <c r="A71" s="11"/>
      <c r="B71" s="42">
        <f>SUM(B70,B58)</f>
        <v>13050407.05</v>
      </c>
      <c r="C71" s="8"/>
      <c r="D71" s="10"/>
      <c r="E71" s="31">
        <f>SUM(E70,E58)</f>
        <v>3670541.76</v>
      </c>
    </row>
    <row r="72" spans="1:5" ht="16.5" customHeight="1">
      <c r="A72" s="11"/>
      <c r="B72" s="36">
        <f>SUM(B27-B71)</f>
        <v>6543751.949999999</v>
      </c>
      <c r="C72" s="6"/>
      <c r="D72" s="10"/>
      <c r="E72" s="37">
        <f>SUM(E27-E71)</f>
        <v>-1241285.87</v>
      </c>
    </row>
    <row r="73" spans="1:5" ht="16.5" customHeight="1" thickBot="1">
      <c r="A73" s="90"/>
      <c r="B73" s="46">
        <f>SUM(B7+B72)</f>
        <v>37097405.18</v>
      </c>
      <c r="C73" s="47"/>
      <c r="D73" s="89"/>
      <c r="E73" s="46">
        <f>SUM(E7+E72)</f>
        <v>37097405.18</v>
      </c>
    </row>
    <row r="74" spans="1:5" ht="16.5" customHeight="1" thickTop="1">
      <c r="A74" s="23"/>
      <c r="B74" s="39"/>
      <c r="C74" s="47"/>
      <c r="D74" s="12"/>
      <c r="E74" s="39"/>
    </row>
    <row r="75" spans="1:5" ht="16.5" customHeight="1">
      <c r="A75" s="6" t="s">
        <v>12</v>
      </c>
      <c r="B75" s="16"/>
      <c r="C75" s="22"/>
      <c r="D75" s="22"/>
      <c r="E75" s="22"/>
    </row>
    <row r="76" spans="1:5" ht="16.5" customHeight="1">
      <c r="A76" s="48" t="s">
        <v>13</v>
      </c>
      <c r="B76" s="16"/>
      <c r="C76" s="22"/>
      <c r="D76" s="22"/>
      <c r="E76" s="21"/>
    </row>
    <row r="77" spans="1:5" ht="16.5" customHeight="1">
      <c r="A77" s="48"/>
      <c r="B77" s="16"/>
      <c r="C77" s="22"/>
      <c r="D77" s="22"/>
      <c r="E77" s="21"/>
    </row>
    <row r="78" spans="1:5" ht="16.5" customHeight="1">
      <c r="A78" s="48"/>
      <c r="B78" s="16"/>
      <c r="C78" s="22"/>
      <c r="D78" s="22"/>
      <c r="E78" s="21"/>
    </row>
    <row r="79" spans="1:5" ht="16.5" customHeight="1">
      <c r="A79" s="291" t="s">
        <v>16</v>
      </c>
      <c r="B79" s="291"/>
      <c r="C79" s="291"/>
      <c r="D79" s="291"/>
      <c r="E79" s="291"/>
    </row>
    <row r="80" spans="1:5" ht="16.5" customHeight="1">
      <c r="A80" s="291" t="s">
        <v>96</v>
      </c>
      <c r="B80" s="291"/>
      <c r="C80" s="291"/>
      <c r="D80" s="291"/>
      <c r="E80" s="291"/>
    </row>
    <row r="81" spans="1:5" ht="16.5" customHeight="1">
      <c r="A81" s="8"/>
      <c r="B81" s="8"/>
      <c r="C81" s="8"/>
      <c r="D81" s="8"/>
      <c r="E81" s="8"/>
    </row>
    <row r="82" spans="1:5" ht="16.5" customHeight="1">
      <c r="A82" s="291" t="s">
        <v>14</v>
      </c>
      <c r="B82" s="291"/>
      <c r="C82" s="291"/>
      <c r="D82" s="291"/>
      <c r="E82" s="291"/>
    </row>
    <row r="83" spans="1:5" ht="16.5" customHeight="1">
      <c r="A83" s="8"/>
      <c r="B83" s="8"/>
      <c r="C83" s="8"/>
      <c r="D83" s="8"/>
      <c r="E83" s="8"/>
    </row>
    <row r="84" spans="1:5" ht="16.5" customHeight="1">
      <c r="A84" s="6"/>
      <c r="B84" s="16"/>
      <c r="C84" s="22"/>
      <c r="D84" s="22"/>
      <c r="E84" s="6"/>
    </row>
    <row r="85" spans="1:5" ht="16.5" customHeight="1">
      <c r="A85" s="291" t="s">
        <v>135</v>
      </c>
      <c r="B85" s="291"/>
      <c r="C85" s="291"/>
      <c r="D85" s="291"/>
      <c r="E85" s="291"/>
    </row>
    <row r="86" spans="1:5" ht="16.5" customHeight="1">
      <c r="A86" s="291" t="s">
        <v>15</v>
      </c>
      <c r="B86" s="291"/>
      <c r="C86" s="291"/>
      <c r="D86" s="291"/>
      <c r="E86" s="291"/>
    </row>
    <row r="87" spans="1:5" ht="16.5" customHeight="1">
      <c r="A87" s="290">
        <v>239997</v>
      </c>
      <c r="B87" s="290"/>
      <c r="C87" s="290"/>
      <c r="D87" s="290"/>
      <c r="E87" s="290"/>
    </row>
    <row r="88" spans="1:5" ht="18" customHeight="1">
      <c r="A88" s="206"/>
      <c r="B88" s="206"/>
      <c r="C88" s="206"/>
      <c r="D88" s="206"/>
      <c r="E88" s="206"/>
    </row>
    <row r="89" spans="1:5" ht="18" customHeight="1">
      <c r="A89" s="206"/>
      <c r="B89" s="206"/>
      <c r="C89" s="206"/>
      <c r="D89" s="206"/>
      <c r="E89" s="206"/>
    </row>
    <row r="90" spans="1:5" ht="18" customHeight="1">
      <c r="A90" s="206"/>
      <c r="B90" s="206"/>
      <c r="C90" s="206"/>
      <c r="D90" s="206"/>
      <c r="E90" s="206"/>
    </row>
    <row r="91" spans="1:5" ht="18" customHeight="1">
      <c r="A91" s="206"/>
      <c r="B91" s="206"/>
      <c r="C91" s="206"/>
      <c r="D91" s="206"/>
      <c r="E91" s="206"/>
    </row>
    <row r="92" spans="1:5" ht="19.5" customHeight="1">
      <c r="A92" s="293" t="s">
        <v>511</v>
      </c>
      <c r="B92" s="293"/>
      <c r="C92" s="293"/>
      <c r="D92" s="293"/>
      <c r="E92" s="293"/>
    </row>
    <row r="93" spans="1:5" ht="19.5" customHeight="1">
      <c r="A93" s="293" t="s">
        <v>17</v>
      </c>
      <c r="B93" s="293"/>
      <c r="C93" s="293"/>
      <c r="D93" s="293"/>
      <c r="E93" s="293"/>
    </row>
    <row r="94" spans="1:5" ht="19.5" customHeight="1">
      <c r="A94" s="292" t="s">
        <v>137</v>
      </c>
      <c r="B94" s="292"/>
      <c r="C94" s="25"/>
      <c r="D94" s="25"/>
      <c r="E94" s="47">
        <v>8018.15</v>
      </c>
    </row>
    <row r="95" spans="1:5" ht="19.5" customHeight="1">
      <c r="A95" s="51" t="s">
        <v>18</v>
      </c>
      <c r="B95" s="51"/>
      <c r="C95" s="25"/>
      <c r="D95" s="25"/>
      <c r="E95" s="47">
        <v>60305</v>
      </c>
    </row>
    <row r="96" spans="1:5" ht="19.5" customHeight="1">
      <c r="A96" s="49" t="s">
        <v>79</v>
      </c>
      <c r="B96" s="6"/>
      <c r="C96" s="6"/>
      <c r="D96" s="16"/>
      <c r="E96" s="49">
        <v>375</v>
      </c>
    </row>
    <row r="97" spans="1:5" ht="19.5" customHeight="1">
      <c r="A97" s="292" t="s">
        <v>455</v>
      </c>
      <c r="B97" s="292"/>
      <c r="C97" s="6"/>
      <c r="D97" s="16"/>
      <c r="E97" s="49">
        <v>614</v>
      </c>
    </row>
    <row r="98" spans="1:5" ht="19.5" customHeight="1">
      <c r="A98" s="292" t="s">
        <v>19</v>
      </c>
      <c r="B98" s="292"/>
      <c r="C98" s="6"/>
      <c r="D98" s="16"/>
      <c r="E98" s="49">
        <v>736.8</v>
      </c>
    </row>
    <row r="99" spans="1:5" ht="19.5" customHeight="1">
      <c r="A99" s="25" t="s">
        <v>20</v>
      </c>
      <c r="B99" s="25"/>
      <c r="C99" s="6"/>
      <c r="D99" s="16"/>
      <c r="E99" s="50">
        <f>SUM(E94:E98)</f>
        <v>70048.95</v>
      </c>
    </row>
    <row r="100" spans="1:5" ht="19.5" customHeight="1">
      <c r="A100" s="25"/>
      <c r="B100" s="25"/>
      <c r="C100" s="6"/>
      <c r="D100" s="16"/>
      <c r="E100" s="50"/>
    </row>
    <row r="101" spans="1:5" ht="19.5" customHeight="1">
      <c r="A101" s="25"/>
      <c r="B101" s="25"/>
      <c r="C101" s="6"/>
      <c r="D101" s="16"/>
      <c r="E101" s="50"/>
    </row>
    <row r="102" spans="1:5" ht="19.5" customHeight="1">
      <c r="A102" s="25"/>
      <c r="B102" s="25"/>
      <c r="C102" s="269"/>
      <c r="D102" s="16"/>
      <c r="E102" s="50"/>
    </row>
    <row r="103" spans="1:5" ht="19.5" customHeight="1">
      <c r="A103" s="25"/>
      <c r="B103" s="25"/>
      <c r="C103" s="25"/>
      <c r="D103" s="16"/>
      <c r="E103" s="50"/>
    </row>
    <row r="104" spans="1:5" ht="19.5" customHeight="1">
      <c r="A104" s="300" t="s">
        <v>512</v>
      </c>
      <c r="B104" s="300"/>
      <c r="C104" s="300"/>
      <c r="D104" s="300"/>
      <c r="E104" s="300"/>
    </row>
    <row r="105" spans="1:5" ht="19.5" customHeight="1">
      <c r="A105" s="293" t="s">
        <v>17</v>
      </c>
      <c r="B105" s="293"/>
      <c r="C105" s="293"/>
      <c r="D105" s="293"/>
      <c r="E105" s="293"/>
    </row>
    <row r="106" spans="1:5" ht="19.5" customHeight="1">
      <c r="A106" s="292" t="s">
        <v>137</v>
      </c>
      <c r="B106" s="292"/>
      <c r="C106" s="25"/>
      <c r="D106" s="25"/>
      <c r="E106" s="47">
        <v>8018.15</v>
      </c>
    </row>
    <row r="107" spans="1:5" ht="19.5" customHeight="1">
      <c r="A107" s="51" t="s">
        <v>18</v>
      </c>
      <c r="B107" s="51"/>
      <c r="C107" s="25"/>
      <c r="D107" s="25"/>
      <c r="E107" s="47">
        <v>63825</v>
      </c>
    </row>
    <row r="108" spans="1:5" ht="19.5" customHeight="1">
      <c r="A108" s="292" t="s">
        <v>455</v>
      </c>
      <c r="B108" s="292"/>
      <c r="C108" s="25"/>
      <c r="D108" s="25"/>
      <c r="E108" s="47">
        <v>628.6</v>
      </c>
    </row>
    <row r="109" spans="1:5" ht="19.5" customHeight="1">
      <c r="A109" s="292" t="s">
        <v>19</v>
      </c>
      <c r="B109" s="292"/>
      <c r="C109" s="25"/>
      <c r="D109" s="25"/>
      <c r="E109" s="47">
        <v>7501.98</v>
      </c>
    </row>
    <row r="110" spans="1:5" ht="19.5" customHeight="1">
      <c r="A110" s="25" t="s">
        <v>20</v>
      </c>
      <c r="B110" s="25"/>
      <c r="C110" s="25"/>
      <c r="D110" s="16"/>
      <c r="E110" s="52">
        <f>SUM(E106:E109)</f>
        <v>79973.73</v>
      </c>
    </row>
    <row r="111" spans="1:5" ht="19.5" customHeight="1">
      <c r="A111" s="25"/>
      <c r="B111" s="25"/>
      <c r="C111" s="25"/>
      <c r="D111" s="16"/>
      <c r="E111" s="52"/>
    </row>
    <row r="112" spans="1:5" ht="19.5" customHeight="1">
      <c r="A112" s="25"/>
      <c r="B112" s="25"/>
      <c r="C112" s="25" t="s">
        <v>454</v>
      </c>
      <c r="D112" s="16"/>
      <c r="E112" s="52"/>
    </row>
    <row r="113" spans="1:5" ht="19.5" customHeight="1">
      <c r="A113" s="25"/>
      <c r="B113" s="25"/>
      <c r="C113" s="25"/>
      <c r="D113" s="16"/>
      <c r="E113" s="52"/>
    </row>
    <row r="114" spans="1:5" ht="19.5" customHeight="1">
      <c r="A114" s="25"/>
      <c r="B114" s="25"/>
      <c r="C114" s="25"/>
      <c r="D114" s="16"/>
      <c r="E114" s="52"/>
    </row>
    <row r="115" spans="1:5" ht="19.5" customHeight="1">
      <c r="A115" s="293" t="s">
        <v>513</v>
      </c>
      <c r="B115" s="293"/>
      <c r="C115" s="293"/>
      <c r="D115" s="293"/>
      <c r="E115" s="293"/>
    </row>
    <row r="116" spans="1:5" ht="19.5" customHeight="1">
      <c r="A116" s="293" t="s">
        <v>144</v>
      </c>
      <c r="B116" s="293"/>
      <c r="C116" s="293"/>
      <c r="D116" s="293"/>
      <c r="E116" s="293"/>
    </row>
    <row r="117" spans="1:5" ht="19.5" customHeight="1">
      <c r="A117" s="51" t="s">
        <v>92</v>
      </c>
      <c r="B117" s="51"/>
      <c r="C117" s="25"/>
      <c r="D117" s="25"/>
      <c r="E117" s="47">
        <v>0</v>
      </c>
    </row>
    <row r="118" spans="1:5" ht="19.5" customHeight="1">
      <c r="A118" s="51" t="s">
        <v>93</v>
      </c>
      <c r="B118" s="51"/>
      <c r="C118" s="25"/>
      <c r="D118" s="25"/>
      <c r="E118" s="47">
        <v>0</v>
      </c>
    </row>
    <row r="119" spans="1:5" ht="19.5" customHeight="1">
      <c r="A119" s="51" t="s">
        <v>397</v>
      </c>
      <c r="B119" s="47"/>
      <c r="C119" s="47"/>
      <c r="D119" s="47"/>
      <c r="E119" s="47">
        <v>0</v>
      </c>
    </row>
    <row r="120" spans="1:5" ht="19.5" customHeight="1">
      <c r="A120" s="51" t="s">
        <v>398</v>
      </c>
      <c r="B120" s="51"/>
      <c r="C120" s="25"/>
      <c r="D120" s="25"/>
      <c r="E120" s="47">
        <v>0</v>
      </c>
    </row>
    <row r="121" spans="1:5" ht="19.5" customHeight="1">
      <c r="A121" s="51" t="s">
        <v>399</v>
      </c>
      <c r="B121" s="51"/>
      <c r="C121" s="51"/>
      <c r="D121" s="25"/>
      <c r="E121" s="47">
        <v>0</v>
      </c>
    </row>
    <row r="122" spans="1:5" ht="19.5" customHeight="1">
      <c r="A122" s="51" t="s">
        <v>429</v>
      </c>
      <c r="B122" s="51"/>
      <c r="C122" s="51"/>
      <c r="D122" s="25"/>
      <c r="E122" s="47">
        <v>0</v>
      </c>
    </row>
    <row r="123" spans="1:5" ht="19.5" customHeight="1">
      <c r="A123" s="292" t="s">
        <v>447</v>
      </c>
      <c r="B123" s="292"/>
      <c r="C123" s="292"/>
      <c r="D123" s="25"/>
      <c r="E123" s="47">
        <v>0</v>
      </c>
    </row>
    <row r="124" spans="1:5" ht="19.5" customHeight="1">
      <c r="A124" s="25"/>
      <c r="B124" s="25"/>
      <c r="C124" s="25"/>
      <c r="D124" s="16"/>
      <c r="E124" s="52"/>
    </row>
    <row r="125" spans="1:5" ht="19.5" customHeight="1">
      <c r="A125" s="25"/>
      <c r="B125" s="25"/>
      <c r="C125" s="25" t="s">
        <v>20</v>
      </c>
      <c r="D125" s="16"/>
      <c r="E125" s="52">
        <f>SUM(E117:E124)</f>
        <v>0</v>
      </c>
    </row>
    <row r="126" spans="1:5" ht="19.5" customHeight="1">
      <c r="A126" s="300"/>
      <c r="B126" s="300"/>
      <c r="C126" s="300"/>
      <c r="D126" s="300"/>
      <c r="E126" s="300"/>
    </row>
    <row r="127" spans="1:5" ht="19.5" customHeight="1">
      <c r="A127" s="51"/>
      <c r="B127" s="47"/>
      <c r="C127" s="47"/>
      <c r="D127" s="47"/>
      <c r="E127" s="47"/>
    </row>
    <row r="128" spans="1:5" ht="19.5" customHeight="1">
      <c r="A128" s="51"/>
      <c r="B128" s="51"/>
      <c r="C128" s="25"/>
      <c r="D128" s="25"/>
      <c r="E128" s="47"/>
    </row>
    <row r="129" spans="1:5" ht="19.5" customHeight="1">
      <c r="A129" s="51"/>
      <c r="B129" s="51"/>
      <c r="C129" s="51"/>
      <c r="D129" s="25"/>
      <c r="E129" s="47"/>
    </row>
    <row r="130" spans="1:5" ht="19.5" customHeight="1">
      <c r="A130" s="25"/>
      <c r="B130" s="25"/>
      <c r="C130" s="25"/>
      <c r="D130" s="16"/>
      <c r="E130" s="52"/>
    </row>
    <row r="131" spans="1:5" ht="19.5" customHeight="1">
      <c r="A131" s="25"/>
      <c r="B131" s="25"/>
      <c r="C131" s="25"/>
      <c r="D131" s="16"/>
      <c r="E131" s="52"/>
    </row>
    <row r="132" spans="1:5" ht="19.5" customHeight="1">
      <c r="A132" s="25"/>
      <c r="B132" s="25"/>
      <c r="C132" s="25"/>
      <c r="D132" s="16"/>
      <c r="E132" s="52"/>
    </row>
    <row r="133" spans="1:5" ht="19.5" customHeight="1">
      <c r="A133" s="25"/>
      <c r="B133" s="25"/>
      <c r="C133" s="25"/>
      <c r="D133" s="16"/>
      <c r="E133" s="52"/>
    </row>
    <row r="134" spans="1:5" ht="19.5" customHeight="1">
      <c r="A134" s="25"/>
      <c r="B134" s="25"/>
      <c r="C134" s="25"/>
      <c r="D134" s="16"/>
      <c r="E134" s="52"/>
    </row>
    <row r="135" spans="1:5" ht="19.5" customHeight="1">
      <c r="A135" s="1"/>
      <c r="C135" s="25"/>
      <c r="D135" s="1"/>
      <c r="E135" s="1"/>
    </row>
    <row r="136" spans="1:5" ht="19.5" customHeight="1">
      <c r="A136" s="1"/>
      <c r="D136" s="1"/>
      <c r="E136" s="1"/>
    </row>
    <row r="137" spans="1:5" ht="19.5" customHeight="1">
      <c r="A137" s="1"/>
      <c r="D137" s="1"/>
      <c r="E137" s="1"/>
    </row>
    <row r="138" spans="1:5" ht="19.5" customHeight="1">
      <c r="A138" s="1"/>
      <c r="D138" s="1"/>
      <c r="E138" s="1"/>
    </row>
    <row r="139" spans="1:5" ht="19.5" customHeight="1">
      <c r="A139" s="1"/>
      <c r="D139" s="1"/>
      <c r="E139" s="1"/>
    </row>
    <row r="140" spans="1:5" ht="19.5" customHeight="1">
      <c r="A140" s="1"/>
      <c r="D140" s="1"/>
      <c r="E140" s="1"/>
    </row>
    <row r="141" spans="1:5" ht="19.5" customHeight="1">
      <c r="A141" s="1"/>
      <c r="D141" s="1"/>
      <c r="E141" s="1"/>
    </row>
    <row r="142" spans="1:5" ht="19.5" customHeight="1">
      <c r="A142" s="1"/>
      <c r="D142" s="1"/>
      <c r="E142" s="1"/>
    </row>
    <row r="143" spans="1:5" ht="19.5" customHeight="1">
      <c r="A143" s="1"/>
      <c r="D143" s="1"/>
      <c r="E143" s="1"/>
    </row>
    <row r="144" spans="1:5" ht="19.5" customHeight="1">
      <c r="A144" s="1"/>
      <c r="D144" s="1"/>
      <c r="E144" s="1"/>
    </row>
    <row r="145" spans="1:5" ht="19.5" customHeight="1">
      <c r="A145" s="1"/>
      <c r="D145" s="1"/>
      <c r="E145" s="1"/>
    </row>
    <row r="146" spans="1:5" ht="19.5" customHeight="1">
      <c r="A146" s="1"/>
      <c r="D146" s="1"/>
      <c r="E146" s="1"/>
    </row>
    <row r="147" spans="1:5" ht="19.5" customHeight="1">
      <c r="A147" s="1"/>
      <c r="D147" s="1"/>
      <c r="E147" s="1"/>
    </row>
    <row r="148" spans="1:5" ht="19.5" customHeight="1">
      <c r="A148" s="1"/>
      <c r="D148" s="1"/>
      <c r="E148" s="1"/>
    </row>
    <row r="149" spans="1:5" ht="19.5" customHeight="1">
      <c r="A149" s="1"/>
      <c r="D149" s="1"/>
      <c r="E149" s="1"/>
    </row>
    <row r="150" spans="1:5" ht="19.5" customHeight="1">
      <c r="A150" s="1"/>
      <c r="D150" s="1"/>
      <c r="E150" s="1"/>
    </row>
    <row r="151" spans="1:5" ht="19.5" customHeight="1">
      <c r="A151" s="1"/>
      <c r="D151" s="1"/>
      <c r="E151" s="1"/>
    </row>
    <row r="152" spans="1:5" ht="19.5" customHeight="1">
      <c r="A152" s="1"/>
      <c r="D152" s="1"/>
      <c r="E152" s="1"/>
    </row>
    <row r="153" spans="1:5" ht="19.5" customHeight="1">
      <c r="A153" s="1"/>
      <c r="D153" s="1"/>
      <c r="E153" s="1"/>
    </row>
    <row r="154" spans="1:5" ht="19.5" customHeight="1">
      <c r="A154" s="1"/>
      <c r="D154" s="1"/>
      <c r="E154" s="1"/>
    </row>
    <row r="155" spans="1:5" ht="19.5" customHeight="1">
      <c r="A155" s="1"/>
      <c r="D155" s="1"/>
      <c r="E155" s="1"/>
    </row>
    <row r="156" spans="1:5" ht="19.5" customHeight="1">
      <c r="A156" s="1"/>
      <c r="D156" s="1"/>
      <c r="E156" s="1"/>
    </row>
    <row r="157" spans="1:5" ht="19.5" customHeight="1">
      <c r="A157" s="1"/>
      <c r="D157" s="1"/>
      <c r="E157" s="1"/>
    </row>
    <row r="158" spans="1:5" ht="19.5" customHeight="1">
      <c r="A158" s="1"/>
      <c r="D158" s="1"/>
      <c r="E158" s="1"/>
    </row>
    <row r="159" spans="1:5" ht="19.5" customHeight="1">
      <c r="A159" s="1"/>
      <c r="D159" s="1"/>
      <c r="E159" s="1"/>
    </row>
    <row r="160" spans="1:5" ht="19.5" customHeight="1">
      <c r="A160" s="1"/>
      <c r="D160" s="1"/>
      <c r="E160" s="1"/>
    </row>
    <row r="161" spans="1:5" ht="19.5" customHeight="1">
      <c r="A161" s="1"/>
      <c r="D161" s="1"/>
      <c r="E161" s="1"/>
    </row>
    <row r="162" spans="1:5" ht="19.5" customHeight="1">
      <c r="A162" s="1"/>
      <c r="D162" s="1"/>
      <c r="E162" s="1"/>
    </row>
    <row r="163" spans="1:5" ht="19.5" customHeight="1">
      <c r="A163" s="1"/>
      <c r="D163" s="1"/>
      <c r="E163" s="1"/>
    </row>
    <row r="164" spans="1:5" ht="19.5" customHeight="1">
      <c r="A164" s="1"/>
      <c r="D164" s="1"/>
      <c r="E164" s="1"/>
    </row>
    <row r="165" spans="1:5" ht="19.5" customHeight="1">
      <c r="A165" s="1"/>
      <c r="D165" s="1"/>
      <c r="E165" s="1"/>
    </row>
    <row r="166" spans="1:5" ht="19.5" customHeight="1">
      <c r="A166" s="1"/>
      <c r="D166" s="1"/>
      <c r="E166" s="1"/>
    </row>
    <row r="167" spans="1:5" ht="19.5" customHeight="1">
      <c r="A167" s="1"/>
      <c r="D167" s="1"/>
      <c r="E167" s="1"/>
    </row>
    <row r="168" spans="1:5" ht="19.5" customHeight="1">
      <c r="A168" s="1"/>
      <c r="D168" s="1"/>
      <c r="E168" s="1"/>
    </row>
    <row r="169" spans="1:5" ht="19.5" customHeight="1">
      <c r="A169" s="1"/>
      <c r="D169" s="1"/>
      <c r="E169" s="1"/>
    </row>
    <row r="170" spans="1:5" ht="19.5" customHeight="1">
      <c r="A170" s="1"/>
      <c r="D170" s="1"/>
      <c r="E170" s="1"/>
    </row>
    <row r="171" spans="1:5" ht="19.5" customHeight="1">
      <c r="A171" s="1"/>
      <c r="D171" s="1"/>
      <c r="E171" s="1"/>
    </row>
    <row r="172" spans="1:5" ht="19.5" customHeight="1">
      <c r="A172" s="1"/>
      <c r="D172" s="1"/>
      <c r="E172" s="1"/>
    </row>
    <row r="173" spans="1:5" ht="19.5" customHeight="1">
      <c r="A173" s="1"/>
      <c r="D173" s="1"/>
      <c r="E173" s="1"/>
    </row>
    <row r="174" spans="1:5" ht="19.5" customHeight="1">
      <c r="A174" s="1"/>
      <c r="D174" s="1"/>
      <c r="E174" s="1"/>
    </row>
    <row r="175" spans="1:5" ht="19.5" customHeight="1">
      <c r="A175" s="1"/>
      <c r="D175" s="1"/>
      <c r="E175" s="1"/>
    </row>
    <row r="176" spans="1:5" ht="19.5" customHeight="1">
      <c r="A176" s="1"/>
      <c r="D176" s="1"/>
      <c r="E176" s="1"/>
    </row>
    <row r="177" spans="1:5" ht="19.5" customHeight="1">
      <c r="A177" s="1"/>
      <c r="D177" s="1"/>
      <c r="E177" s="1"/>
    </row>
    <row r="178" spans="1:5" ht="19.5" customHeight="1">
      <c r="A178" s="1"/>
      <c r="D178" s="1"/>
      <c r="E178" s="1"/>
    </row>
    <row r="179" spans="1:5" ht="19.5" customHeight="1">
      <c r="A179" s="1"/>
      <c r="D179" s="1"/>
      <c r="E179" s="1"/>
    </row>
    <row r="180" spans="1:5" ht="19.5" customHeight="1">
      <c r="A180" s="1"/>
      <c r="D180" s="1"/>
      <c r="E180" s="1"/>
    </row>
    <row r="181" spans="1:5" ht="19.5" customHeight="1">
      <c r="A181" s="1"/>
      <c r="D181" s="1"/>
      <c r="E181" s="1"/>
    </row>
    <row r="182" spans="1:5" ht="19.5" customHeight="1">
      <c r="A182" s="1"/>
      <c r="D182" s="1"/>
      <c r="E182" s="1"/>
    </row>
    <row r="183" spans="1:5" ht="19.5" customHeight="1">
      <c r="A183" s="1"/>
      <c r="D183" s="1"/>
      <c r="E183" s="1"/>
    </row>
    <row r="184" spans="1:5" ht="19.5" customHeight="1">
      <c r="A184" s="1"/>
      <c r="D184" s="1"/>
      <c r="E184" s="1"/>
    </row>
    <row r="185" spans="1:5" ht="19.5" customHeight="1">
      <c r="A185" s="1"/>
      <c r="D185" s="1"/>
      <c r="E185" s="1"/>
    </row>
    <row r="186" spans="1:5" ht="19.5" customHeight="1">
      <c r="A186" s="1"/>
      <c r="D186" s="1"/>
      <c r="E186" s="1"/>
    </row>
    <row r="187" spans="1:5" ht="19.5" customHeight="1">
      <c r="A187" s="1"/>
      <c r="D187" s="1"/>
      <c r="E187" s="1"/>
    </row>
    <row r="188" spans="1:5" ht="19.5" customHeight="1">
      <c r="A188" s="1"/>
      <c r="D188" s="1"/>
      <c r="E188" s="1"/>
    </row>
    <row r="189" spans="1:5" ht="19.5" customHeight="1">
      <c r="A189" s="1"/>
      <c r="D189" s="1"/>
      <c r="E189" s="1"/>
    </row>
    <row r="190" spans="1:5" ht="19.5" customHeight="1">
      <c r="A190" s="1"/>
      <c r="D190" s="1"/>
      <c r="E190" s="1"/>
    </row>
    <row r="191" spans="1:5" ht="19.5" customHeight="1">
      <c r="A191" s="1"/>
      <c r="D191" s="1"/>
      <c r="E191" s="1"/>
    </row>
    <row r="192" spans="1:5" ht="19.5" customHeight="1">
      <c r="A192" s="1"/>
      <c r="D192" s="1"/>
      <c r="E192" s="1"/>
    </row>
    <row r="193" spans="1:5" ht="19.5" customHeight="1">
      <c r="A193" s="1"/>
      <c r="D193" s="1"/>
      <c r="E193" s="1"/>
    </row>
    <row r="194" spans="1:5" ht="19.5" customHeight="1">
      <c r="A194" s="1"/>
      <c r="D194" s="1"/>
      <c r="E194" s="1"/>
    </row>
    <row r="195" spans="1:5" ht="19.5" customHeight="1">
      <c r="A195" s="1"/>
      <c r="D195" s="1"/>
      <c r="E195" s="1"/>
    </row>
    <row r="196" spans="1:5" ht="19.5" customHeight="1">
      <c r="A196" s="1"/>
      <c r="D196" s="1"/>
      <c r="E196" s="1"/>
    </row>
    <row r="197" spans="1:5" ht="19.5" customHeight="1">
      <c r="A197" s="1"/>
      <c r="D197" s="1"/>
      <c r="E197" s="1"/>
    </row>
    <row r="198" spans="1:5" ht="19.5" customHeight="1">
      <c r="A198" s="1"/>
      <c r="D198" s="1"/>
      <c r="E198" s="1"/>
    </row>
    <row r="199" spans="1:5" ht="19.5" customHeight="1">
      <c r="A199" s="1"/>
      <c r="D199" s="1"/>
      <c r="E199" s="1"/>
    </row>
    <row r="200" spans="1:5" ht="19.5" customHeight="1">
      <c r="A200" s="1"/>
      <c r="D200" s="1"/>
      <c r="E200" s="1"/>
    </row>
    <row r="201" spans="1:5" ht="19.5" customHeight="1">
      <c r="A201" s="1"/>
      <c r="D201" s="1"/>
      <c r="E201" s="1"/>
    </row>
    <row r="202" spans="1:5" ht="19.5" customHeight="1">
      <c r="A202" s="1"/>
      <c r="D202" s="1"/>
      <c r="E202" s="1"/>
    </row>
    <row r="203" spans="1:5" ht="19.5" customHeight="1">
      <c r="A203" s="1"/>
      <c r="D203" s="1"/>
      <c r="E203" s="1"/>
    </row>
    <row r="204" spans="1:5" ht="19.5" customHeight="1">
      <c r="A204" s="1"/>
      <c r="D204" s="1"/>
      <c r="E204" s="1"/>
    </row>
    <row r="205" spans="1:5" ht="19.5" customHeight="1">
      <c r="A205" s="1"/>
      <c r="D205" s="1"/>
      <c r="E205" s="1"/>
    </row>
    <row r="206" spans="1:5" ht="19.5" customHeight="1">
      <c r="A206" s="1"/>
      <c r="D206" s="1"/>
      <c r="E206" s="1"/>
    </row>
    <row r="207" spans="1:5" ht="19.5" customHeight="1">
      <c r="A207" s="1"/>
      <c r="D207" s="1"/>
      <c r="E207" s="1"/>
    </row>
    <row r="208" spans="1:5" ht="19.5" customHeight="1">
      <c r="A208" s="1"/>
      <c r="D208" s="1"/>
      <c r="E208" s="1"/>
    </row>
    <row r="209" spans="1:5" ht="19.5" customHeight="1">
      <c r="A209" s="1"/>
      <c r="D209" s="1"/>
      <c r="E209" s="1"/>
    </row>
    <row r="210" spans="1:5" ht="19.5" customHeight="1">
      <c r="A210" s="1"/>
      <c r="D210" s="1"/>
      <c r="E210" s="1"/>
    </row>
    <row r="211" spans="1:5" ht="19.5" customHeight="1">
      <c r="A211" s="1"/>
      <c r="D211" s="1"/>
      <c r="E211" s="1"/>
    </row>
    <row r="212" spans="1:5" ht="19.5" customHeight="1">
      <c r="A212" s="1"/>
      <c r="D212" s="1"/>
      <c r="E212" s="1"/>
    </row>
    <row r="213" spans="1:5" ht="19.5" customHeight="1">
      <c r="A213" s="1"/>
      <c r="D213" s="1"/>
      <c r="E213" s="1"/>
    </row>
    <row r="214" spans="1:5" ht="19.5" customHeight="1">
      <c r="A214" s="1"/>
      <c r="D214" s="1"/>
      <c r="E214" s="1"/>
    </row>
    <row r="215" spans="1:5" ht="19.5" customHeight="1">
      <c r="A215" s="1"/>
      <c r="D215" s="1"/>
      <c r="E215" s="1"/>
    </row>
    <row r="216" spans="1:5" ht="19.5" customHeight="1">
      <c r="A216" s="1"/>
      <c r="D216" s="1"/>
      <c r="E216" s="1"/>
    </row>
    <row r="217" spans="1:5" ht="19.5" customHeight="1">
      <c r="A217" s="1"/>
      <c r="D217" s="1"/>
      <c r="E217" s="1"/>
    </row>
    <row r="218" spans="1:5" ht="19.5" customHeight="1">
      <c r="A218" s="1"/>
      <c r="D218" s="1"/>
      <c r="E218" s="1"/>
    </row>
    <row r="219" spans="1:5" ht="19.5" customHeight="1">
      <c r="A219" s="1"/>
      <c r="D219" s="1"/>
      <c r="E219" s="1"/>
    </row>
    <row r="220" spans="1:5" ht="19.5" customHeight="1">
      <c r="A220" s="1"/>
      <c r="D220" s="1"/>
      <c r="E220" s="1"/>
    </row>
    <row r="221" spans="1:5" ht="19.5" customHeight="1">
      <c r="A221" s="1"/>
      <c r="D221" s="1"/>
      <c r="E221" s="1"/>
    </row>
    <row r="222" spans="1:5" ht="19.5" customHeight="1">
      <c r="A222" s="1"/>
      <c r="D222" s="1"/>
      <c r="E222" s="1"/>
    </row>
    <row r="223" spans="1:5" ht="19.5" customHeight="1">
      <c r="A223" s="1"/>
      <c r="D223" s="1"/>
      <c r="E223" s="1"/>
    </row>
    <row r="224" spans="1:5" ht="19.5" customHeight="1">
      <c r="A224" s="1"/>
      <c r="D224" s="1"/>
      <c r="E224" s="1"/>
    </row>
    <row r="225" spans="1:5" ht="19.5" customHeight="1">
      <c r="A225" s="1"/>
      <c r="D225" s="1"/>
      <c r="E225" s="1"/>
    </row>
    <row r="226" spans="1:5" ht="19.5" customHeight="1">
      <c r="A226" s="1"/>
      <c r="D226" s="1"/>
      <c r="E226" s="1"/>
    </row>
    <row r="227" spans="1:5" ht="19.5" customHeight="1">
      <c r="A227" s="1"/>
      <c r="D227" s="1"/>
      <c r="E227" s="1"/>
    </row>
    <row r="228" spans="1:5" ht="19.5" customHeight="1">
      <c r="A228" s="1"/>
      <c r="D228" s="1"/>
      <c r="E228" s="1"/>
    </row>
    <row r="229" spans="1:5" ht="19.5" customHeight="1">
      <c r="A229" s="1"/>
      <c r="D229" s="1"/>
      <c r="E229" s="1"/>
    </row>
    <row r="230" spans="1:5" ht="19.5" customHeight="1">
      <c r="A230" s="1"/>
      <c r="D230" s="1"/>
      <c r="E230" s="1"/>
    </row>
    <row r="231" spans="1:5" ht="19.5" customHeight="1">
      <c r="A231" s="1"/>
      <c r="D231" s="1"/>
      <c r="E231" s="1"/>
    </row>
    <row r="232" spans="1:5" ht="19.5" customHeight="1">
      <c r="A232" s="1"/>
      <c r="D232" s="1"/>
      <c r="E232" s="1"/>
    </row>
    <row r="233" spans="1:5" ht="19.5" customHeight="1">
      <c r="A233" s="1"/>
      <c r="D233" s="1"/>
      <c r="E233" s="1"/>
    </row>
    <row r="234" spans="1:5" ht="19.5" customHeight="1">
      <c r="A234" s="1"/>
      <c r="D234" s="1"/>
      <c r="E234" s="1"/>
    </row>
    <row r="235" spans="1:5" ht="19.5" customHeight="1">
      <c r="A235" s="1"/>
      <c r="D235" s="1"/>
      <c r="E235" s="1"/>
    </row>
    <row r="236" spans="1:5" ht="19.5" customHeight="1">
      <c r="A236" s="1"/>
      <c r="D236" s="1"/>
      <c r="E236" s="1"/>
    </row>
    <row r="237" spans="1:5" ht="19.5" customHeight="1">
      <c r="A237" s="1"/>
      <c r="D237" s="1"/>
      <c r="E237" s="1"/>
    </row>
    <row r="238" spans="1:5" ht="19.5" customHeight="1">
      <c r="A238" s="1"/>
      <c r="D238" s="1"/>
      <c r="E238" s="1"/>
    </row>
    <row r="239" spans="1:5" ht="19.5" customHeight="1">
      <c r="A239" s="1"/>
      <c r="D239" s="1"/>
      <c r="E239" s="1"/>
    </row>
    <row r="240" spans="1:5" ht="19.5" customHeight="1">
      <c r="A240" s="1"/>
      <c r="D240" s="1"/>
      <c r="E240" s="1"/>
    </row>
    <row r="241" spans="1:5" ht="19.5" customHeight="1">
      <c r="A241" s="1"/>
      <c r="D241" s="1"/>
      <c r="E241" s="1"/>
    </row>
    <row r="242" spans="1:5" ht="19.5" customHeight="1">
      <c r="A242" s="1"/>
      <c r="D242" s="1"/>
      <c r="E242" s="1"/>
    </row>
    <row r="243" spans="1:5" ht="19.5" customHeight="1">
      <c r="A243" s="1"/>
      <c r="D243" s="1"/>
      <c r="E243" s="1"/>
    </row>
    <row r="244" spans="1:5" ht="19.5" customHeight="1">
      <c r="A244" s="1"/>
      <c r="D244" s="1"/>
      <c r="E244" s="1"/>
    </row>
    <row r="245" spans="1:5" ht="19.5" customHeight="1">
      <c r="A245" s="1"/>
      <c r="D245" s="1"/>
      <c r="E245" s="1"/>
    </row>
    <row r="246" spans="1:5" ht="19.5" customHeight="1">
      <c r="A246" s="1"/>
      <c r="D246" s="1"/>
      <c r="E246" s="1"/>
    </row>
    <row r="247" spans="1:5" ht="19.5" customHeight="1">
      <c r="A247" s="1"/>
      <c r="D247" s="1"/>
      <c r="E247" s="1"/>
    </row>
    <row r="248" spans="1:5" ht="19.5" customHeight="1">
      <c r="A248" s="1"/>
      <c r="D248" s="1"/>
      <c r="E248" s="1"/>
    </row>
    <row r="249" spans="1:5" ht="19.5" customHeight="1">
      <c r="A249" s="1"/>
      <c r="D249" s="1"/>
      <c r="E249" s="1"/>
    </row>
    <row r="250" spans="1:5" ht="19.5" customHeight="1">
      <c r="A250" s="1"/>
      <c r="D250" s="1"/>
      <c r="E250" s="1"/>
    </row>
    <row r="251" spans="1:5" ht="19.5" customHeight="1">
      <c r="A251" s="1"/>
      <c r="D251" s="1"/>
      <c r="E251" s="1"/>
    </row>
    <row r="252" spans="1:5" ht="19.5" customHeight="1">
      <c r="A252" s="1"/>
      <c r="D252" s="1"/>
      <c r="E252" s="1"/>
    </row>
    <row r="253" spans="1:5" ht="19.5" customHeight="1">
      <c r="A253" s="1"/>
      <c r="D253" s="1"/>
      <c r="E253" s="1"/>
    </row>
    <row r="254" spans="1:5" ht="19.5" customHeight="1">
      <c r="A254" s="1"/>
      <c r="D254" s="1"/>
      <c r="E254" s="1"/>
    </row>
    <row r="255" spans="1:5" ht="19.5" customHeight="1">
      <c r="A255" s="1"/>
      <c r="D255" s="1"/>
      <c r="E255" s="1"/>
    </row>
    <row r="256" spans="1:5" ht="19.5" customHeight="1">
      <c r="A256" s="1"/>
      <c r="D256" s="1"/>
      <c r="E256" s="1"/>
    </row>
    <row r="257" spans="1:5" ht="19.5" customHeight="1">
      <c r="A257" s="1"/>
      <c r="D257" s="1"/>
      <c r="E257" s="1"/>
    </row>
    <row r="258" spans="1:5" ht="19.5" customHeight="1">
      <c r="A258" s="1"/>
      <c r="D258" s="1"/>
      <c r="E258" s="1"/>
    </row>
    <row r="259" spans="1:5" ht="19.5" customHeight="1">
      <c r="A259" s="1"/>
      <c r="D259" s="1"/>
      <c r="E259" s="1"/>
    </row>
    <row r="260" spans="1:5" ht="19.5" customHeight="1">
      <c r="A260" s="1"/>
      <c r="D260" s="1"/>
      <c r="E260" s="1"/>
    </row>
    <row r="261" spans="1:5" ht="19.5" customHeight="1">
      <c r="A261" s="1"/>
      <c r="D261" s="1"/>
      <c r="E261" s="1"/>
    </row>
    <row r="262" spans="1:5" ht="19.5" customHeight="1">
      <c r="A262" s="1"/>
      <c r="D262" s="1"/>
      <c r="E262" s="1"/>
    </row>
    <row r="263" spans="1:5" ht="19.5" customHeight="1">
      <c r="A263" s="1"/>
      <c r="D263" s="1"/>
      <c r="E263" s="1"/>
    </row>
    <row r="264" spans="1:5" ht="19.5" customHeight="1">
      <c r="A264" s="1"/>
      <c r="D264" s="1"/>
      <c r="E264" s="1"/>
    </row>
    <row r="265" spans="1:5" ht="19.5" customHeight="1">
      <c r="A265" s="1"/>
      <c r="D265" s="1"/>
      <c r="E265" s="1"/>
    </row>
    <row r="266" spans="1:5" ht="19.5" customHeight="1">
      <c r="A266" s="1"/>
      <c r="D266" s="1"/>
      <c r="E266" s="1"/>
    </row>
    <row r="267" spans="1:5" ht="19.5" customHeight="1">
      <c r="A267" s="1"/>
      <c r="D267" s="1"/>
      <c r="E267" s="1"/>
    </row>
    <row r="268" spans="1:5" ht="19.5" customHeight="1">
      <c r="A268" s="1"/>
      <c r="D268" s="1"/>
      <c r="E268" s="1"/>
    </row>
    <row r="269" spans="1:5" ht="19.5" customHeight="1">
      <c r="A269" s="1"/>
      <c r="D269" s="1"/>
      <c r="E269" s="1"/>
    </row>
    <row r="270" spans="1:5" ht="19.5" customHeight="1">
      <c r="A270" s="1"/>
      <c r="D270" s="1"/>
      <c r="E270" s="1"/>
    </row>
    <row r="271" spans="1:5" ht="19.5" customHeight="1">
      <c r="A271" s="1"/>
      <c r="D271" s="1"/>
      <c r="E271" s="1"/>
    </row>
    <row r="272" spans="1:5" ht="19.5" customHeight="1">
      <c r="A272" s="1"/>
      <c r="D272" s="1"/>
      <c r="E272" s="1"/>
    </row>
    <row r="273" spans="1:5" ht="19.5" customHeight="1">
      <c r="A273" s="1"/>
      <c r="D273" s="1"/>
      <c r="E273" s="1"/>
    </row>
    <row r="274" spans="1:5" ht="19.5" customHeight="1">
      <c r="A274" s="1"/>
      <c r="D274" s="1"/>
      <c r="E274" s="1"/>
    </row>
    <row r="275" spans="1:5" ht="19.5" customHeight="1">
      <c r="A275" s="1"/>
      <c r="D275" s="1"/>
      <c r="E275" s="1"/>
    </row>
    <row r="276" spans="1:5" ht="19.5" customHeight="1">
      <c r="A276" s="1"/>
      <c r="D276" s="1"/>
      <c r="E276" s="1"/>
    </row>
    <row r="277" spans="1:5" ht="19.5" customHeight="1">
      <c r="A277" s="1"/>
      <c r="D277" s="1"/>
      <c r="E277" s="1"/>
    </row>
    <row r="278" spans="1:5" ht="19.5" customHeight="1">
      <c r="A278" s="1"/>
      <c r="D278" s="1"/>
      <c r="E278" s="1"/>
    </row>
    <row r="279" spans="1:5" ht="19.5" customHeight="1">
      <c r="A279" s="1"/>
      <c r="D279" s="1"/>
      <c r="E279" s="1"/>
    </row>
    <row r="280" spans="1:5" ht="19.5" customHeight="1">
      <c r="A280" s="1"/>
      <c r="D280" s="1"/>
      <c r="E280" s="1"/>
    </row>
    <row r="281" spans="1:5" ht="19.5" customHeight="1">
      <c r="A281" s="1"/>
      <c r="D281" s="1"/>
      <c r="E281" s="1"/>
    </row>
    <row r="282" spans="1:5" ht="19.5" customHeight="1">
      <c r="A282" s="1"/>
      <c r="D282" s="1"/>
      <c r="E282" s="1"/>
    </row>
    <row r="283" spans="1:5" ht="19.5" customHeight="1">
      <c r="A283" s="1"/>
      <c r="D283" s="1"/>
      <c r="E283" s="1"/>
    </row>
    <row r="284" spans="1:5" ht="19.5" customHeight="1">
      <c r="A284" s="1"/>
      <c r="D284" s="1"/>
      <c r="E284" s="1"/>
    </row>
    <row r="285" spans="1:5" ht="19.5" customHeight="1">
      <c r="A285" s="1"/>
      <c r="D285" s="1"/>
      <c r="E285" s="1"/>
    </row>
    <row r="286" spans="1:5" ht="19.5" customHeight="1">
      <c r="A286" s="1"/>
      <c r="D286" s="1"/>
      <c r="E286" s="1"/>
    </row>
    <row r="287" spans="1:5" ht="19.5" customHeight="1">
      <c r="A287" s="1"/>
      <c r="D287" s="1"/>
      <c r="E287" s="1"/>
    </row>
    <row r="288" spans="1:5" ht="19.5" customHeight="1">
      <c r="A288" s="1"/>
      <c r="D288" s="1"/>
      <c r="E288" s="1"/>
    </row>
    <row r="289" spans="1:5" ht="19.5" customHeight="1">
      <c r="A289" s="1"/>
      <c r="D289" s="1"/>
      <c r="E289" s="1"/>
    </row>
    <row r="290" spans="1:5" ht="19.5" customHeight="1">
      <c r="A290" s="1"/>
      <c r="D290" s="1"/>
      <c r="E290" s="1"/>
    </row>
    <row r="291" spans="1:5" ht="19.5" customHeight="1">
      <c r="A291" s="1"/>
      <c r="D291" s="1"/>
      <c r="E291" s="1"/>
    </row>
    <row r="292" spans="1:5" ht="19.5" customHeight="1">
      <c r="A292" s="1"/>
      <c r="D292" s="1"/>
      <c r="E292" s="1"/>
    </row>
    <row r="293" spans="1:5" ht="19.5" customHeight="1">
      <c r="A293" s="1"/>
      <c r="D293" s="1"/>
      <c r="E293" s="1"/>
    </row>
    <row r="294" spans="1:5" ht="19.5" customHeight="1">
      <c r="A294" s="1"/>
      <c r="D294" s="1"/>
      <c r="E294" s="1"/>
    </row>
    <row r="295" spans="1:5" ht="19.5" customHeight="1">
      <c r="A295" s="1"/>
      <c r="D295" s="1"/>
      <c r="E295" s="1"/>
    </row>
    <row r="296" spans="1:5" ht="19.5" customHeight="1">
      <c r="A296" s="1"/>
      <c r="D296" s="1"/>
      <c r="E296" s="1"/>
    </row>
    <row r="297" spans="1:5" ht="19.5" customHeight="1">
      <c r="A297" s="1"/>
      <c r="D297" s="1"/>
      <c r="E297" s="1"/>
    </row>
    <row r="298" spans="1:5" ht="19.5" customHeight="1">
      <c r="A298" s="1"/>
      <c r="D298" s="1"/>
      <c r="E298" s="1"/>
    </row>
    <row r="299" spans="1:5" ht="19.5" customHeight="1">
      <c r="A299" s="1"/>
      <c r="D299" s="1"/>
      <c r="E299" s="1"/>
    </row>
    <row r="300" spans="1:5" ht="19.5" customHeight="1">
      <c r="A300" s="1"/>
      <c r="D300" s="1"/>
      <c r="E300" s="1"/>
    </row>
    <row r="301" spans="1:5" ht="19.5" customHeight="1">
      <c r="A301" s="1"/>
      <c r="D301" s="1"/>
      <c r="E301" s="1"/>
    </row>
    <row r="302" spans="1:5" ht="19.5" customHeight="1">
      <c r="A302" s="1"/>
      <c r="D302" s="1"/>
      <c r="E302" s="1"/>
    </row>
    <row r="303" spans="1:5" ht="19.5" customHeight="1">
      <c r="A303" s="1"/>
      <c r="D303" s="1"/>
      <c r="E303" s="1"/>
    </row>
    <row r="304" spans="1:5" ht="19.5" customHeight="1">
      <c r="A304" s="1"/>
      <c r="D304" s="1"/>
      <c r="E304" s="1"/>
    </row>
    <row r="305" spans="1:5" ht="19.5" customHeight="1">
      <c r="A305" s="1"/>
      <c r="D305" s="1"/>
      <c r="E305" s="1"/>
    </row>
    <row r="306" spans="1:5" ht="19.5" customHeight="1">
      <c r="A306" s="1"/>
      <c r="D306" s="1"/>
      <c r="E306" s="1"/>
    </row>
    <row r="307" spans="1:5" ht="19.5" customHeight="1">
      <c r="A307" s="1"/>
      <c r="D307" s="1"/>
      <c r="E307" s="1"/>
    </row>
    <row r="308" spans="1:5" ht="19.5" customHeight="1">
      <c r="A308" s="1"/>
      <c r="D308" s="1"/>
      <c r="E308" s="1"/>
    </row>
    <row r="309" spans="1:5" ht="19.5" customHeight="1">
      <c r="A309" s="1"/>
      <c r="D309" s="1"/>
      <c r="E309" s="1"/>
    </row>
    <row r="310" spans="1:5" ht="19.5" customHeight="1">
      <c r="A310" s="1"/>
      <c r="D310" s="1"/>
      <c r="E310" s="1"/>
    </row>
    <row r="311" spans="1:5" ht="19.5" customHeight="1">
      <c r="A311" s="1"/>
      <c r="D311" s="1"/>
      <c r="E311" s="1"/>
    </row>
    <row r="312" spans="1:5" ht="19.5" customHeight="1">
      <c r="A312" s="1"/>
      <c r="D312" s="1"/>
      <c r="E312" s="1"/>
    </row>
    <row r="313" spans="1:5" ht="19.5" customHeight="1">
      <c r="A313" s="1"/>
      <c r="D313" s="1"/>
      <c r="E313" s="1"/>
    </row>
    <row r="314" spans="1:5" ht="19.5" customHeight="1">
      <c r="A314" s="1"/>
      <c r="D314" s="1"/>
      <c r="E314" s="1"/>
    </row>
    <row r="315" spans="1:5" ht="19.5" customHeight="1">
      <c r="A315" s="1"/>
      <c r="D315" s="1"/>
      <c r="E315" s="1"/>
    </row>
    <row r="316" spans="1:5" ht="19.5" customHeight="1">
      <c r="A316" s="1"/>
      <c r="D316" s="1"/>
      <c r="E316" s="1"/>
    </row>
    <row r="317" spans="1:5" ht="19.5" customHeight="1">
      <c r="A317" s="1"/>
      <c r="D317" s="1"/>
      <c r="E317" s="1"/>
    </row>
    <row r="318" spans="1:5" ht="19.5" customHeight="1">
      <c r="A318" s="1"/>
      <c r="D318" s="1"/>
      <c r="E318" s="1"/>
    </row>
    <row r="319" spans="1:5" ht="19.5" customHeight="1">
      <c r="A319" s="1"/>
      <c r="D319" s="1"/>
      <c r="E319" s="1"/>
    </row>
    <row r="320" spans="1:5" ht="19.5" customHeight="1">
      <c r="A320" s="1"/>
      <c r="D320" s="1"/>
      <c r="E320" s="1"/>
    </row>
    <row r="321" spans="1:5" ht="19.5" customHeight="1">
      <c r="A321" s="1"/>
      <c r="D321" s="1"/>
      <c r="E321" s="1"/>
    </row>
    <row r="322" spans="1:5" ht="19.5" customHeight="1">
      <c r="A322" s="1"/>
      <c r="D322" s="1"/>
      <c r="E322" s="1"/>
    </row>
    <row r="323" spans="1:5" ht="19.5" customHeight="1">
      <c r="A323" s="1"/>
      <c r="D323" s="1"/>
      <c r="E323" s="1"/>
    </row>
    <row r="324" spans="1:5" ht="19.5" customHeight="1">
      <c r="A324" s="1"/>
      <c r="D324" s="1"/>
      <c r="E324" s="1"/>
    </row>
    <row r="325" spans="1:5" ht="19.5" customHeight="1">
      <c r="A325" s="1"/>
      <c r="D325" s="1"/>
      <c r="E325" s="1"/>
    </row>
    <row r="326" spans="1:5" ht="19.5" customHeight="1">
      <c r="A326" s="1"/>
      <c r="D326" s="1"/>
      <c r="E326" s="1"/>
    </row>
    <row r="327" spans="1:5" ht="19.5" customHeight="1">
      <c r="A327" s="1"/>
      <c r="D327" s="1"/>
      <c r="E327" s="1"/>
    </row>
    <row r="328" spans="1:5" ht="19.5" customHeight="1">
      <c r="A328" s="1"/>
      <c r="D328" s="1"/>
      <c r="E328" s="1"/>
    </row>
    <row r="329" spans="1:5" ht="19.5" customHeight="1">
      <c r="A329" s="1"/>
      <c r="D329" s="1"/>
      <c r="E329" s="1"/>
    </row>
    <row r="330" spans="1:5" ht="19.5" customHeight="1">
      <c r="A330" s="1"/>
      <c r="D330" s="1"/>
      <c r="E330" s="1"/>
    </row>
    <row r="331" spans="1:5" ht="19.5" customHeight="1">
      <c r="A331" s="1"/>
      <c r="D331" s="1"/>
      <c r="E331" s="1"/>
    </row>
    <row r="332" spans="1:5" ht="19.5" customHeight="1">
      <c r="A332" s="1"/>
      <c r="D332" s="1"/>
      <c r="E332" s="1"/>
    </row>
    <row r="333" spans="1:5" ht="19.5" customHeight="1">
      <c r="A333" s="1"/>
      <c r="D333" s="1"/>
      <c r="E333" s="1"/>
    </row>
    <row r="334" spans="1:5" ht="19.5" customHeight="1">
      <c r="A334" s="1"/>
      <c r="D334" s="1"/>
      <c r="E334" s="1"/>
    </row>
    <row r="335" spans="1:5" ht="19.5" customHeight="1">
      <c r="A335" s="1"/>
      <c r="D335" s="1"/>
      <c r="E335" s="1"/>
    </row>
    <row r="336" spans="1:5" ht="19.5" customHeight="1">
      <c r="A336" s="1"/>
      <c r="D336" s="1"/>
      <c r="E336" s="1"/>
    </row>
    <row r="337" spans="1:5" ht="19.5" customHeight="1">
      <c r="A337" s="1"/>
      <c r="D337" s="1"/>
      <c r="E337" s="1"/>
    </row>
    <row r="338" spans="1:5" ht="19.5" customHeight="1">
      <c r="A338" s="1"/>
      <c r="D338" s="1"/>
      <c r="E338" s="1"/>
    </row>
    <row r="339" spans="1:5" ht="19.5" customHeight="1">
      <c r="A339" s="1"/>
      <c r="D339" s="1"/>
      <c r="E339" s="1"/>
    </row>
    <row r="340" spans="1:5" ht="19.5" customHeight="1">
      <c r="A340" s="1"/>
      <c r="D340" s="1"/>
      <c r="E340" s="1"/>
    </row>
    <row r="341" spans="1:5" ht="19.5" customHeight="1">
      <c r="A341" s="1"/>
      <c r="D341" s="1"/>
      <c r="E341" s="1"/>
    </row>
    <row r="342" spans="1:5" ht="19.5" customHeight="1">
      <c r="A342" s="1"/>
      <c r="D342" s="1"/>
      <c r="E342" s="1"/>
    </row>
    <row r="343" spans="1:5" ht="19.5" customHeight="1">
      <c r="A343" s="1"/>
      <c r="D343" s="1"/>
      <c r="E343" s="1"/>
    </row>
    <row r="344" spans="1:5" ht="19.5" customHeight="1">
      <c r="A344" s="1"/>
      <c r="D344" s="1"/>
      <c r="E344" s="1"/>
    </row>
    <row r="345" spans="1:5" ht="19.5" customHeight="1">
      <c r="A345" s="1"/>
      <c r="D345" s="1"/>
      <c r="E345" s="1"/>
    </row>
    <row r="346" spans="1:5" ht="19.5" customHeight="1">
      <c r="A346" s="1"/>
      <c r="D346" s="1"/>
      <c r="E346" s="1"/>
    </row>
    <row r="347" spans="1:5" ht="19.5" customHeight="1">
      <c r="A347" s="1"/>
      <c r="D347" s="1"/>
      <c r="E347" s="1"/>
    </row>
    <row r="348" spans="1:5" ht="19.5" customHeight="1">
      <c r="A348" s="1"/>
      <c r="D348" s="1"/>
      <c r="E348" s="1"/>
    </row>
    <row r="349" spans="1:5" ht="19.5" customHeight="1">
      <c r="A349" s="1"/>
      <c r="D349" s="1"/>
      <c r="E349" s="1"/>
    </row>
    <row r="350" spans="1:5" ht="19.5" customHeight="1">
      <c r="A350" s="1"/>
      <c r="D350" s="1"/>
      <c r="E350" s="1"/>
    </row>
    <row r="351" spans="1:5" ht="19.5" customHeight="1">
      <c r="A351" s="1"/>
      <c r="D351" s="1"/>
      <c r="E351" s="1"/>
    </row>
    <row r="352" spans="1:5" ht="19.5" customHeight="1">
      <c r="A352" s="1"/>
      <c r="D352" s="1"/>
      <c r="E352" s="1"/>
    </row>
    <row r="353" spans="1:5" ht="19.5" customHeight="1">
      <c r="A353" s="1"/>
      <c r="D353" s="1"/>
      <c r="E353" s="1"/>
    </row>
    <row r="354" spans="1:5" ht="19.5" customHeight="1">
      <c r="A354" s="1"/>
      <c r="D354" s="1"/>
      <c r="E354" s="1"/>
    </row>
    <row r="355" spans="1:5" ht="19.5" customHeight="1">
      <c r="A355" s="1"/>
      <c r="D355" s="1"/>
      <c r="E355" s="1"/>
    </row>
    <row r="356" spans="1:5" ht="19.5" customHeight="1">
      <c r="A356" s="1"/>
      <c r="D356" s="1"/>
      <c r="E356" s="1"/>
    </row>
    <row r="357" spans="1:5" ht="19.5" customHeight="1">
      <c r="A357" s="1"/>
      <c r="D357" s="1"/>
      <c r="E357" s="1"/>
    </row>
    <row r="358" spans="1:5" ht="19.5" customHeight="1">
      <c r="A358" s="1"/>
      <c r="D358" s="1"/>
      <c r="E358" s="1"/>
    </row>
    <row r="359" spans="1:5" ht="19.5" customHeight="1">
      <c r="A359" s="1"/>
      <c r="D359" s="1"/>
      <c r="E359" s="1"/>
    </row>
    <row r="360" spans="1:5" ht="19.5" customHeight="1">
      <c r="A360" s="1"/>
      <c r="D360" s="1"/>
      <c r="E360" s="1"/>
    </row>
    <row r="361" spans="1:5" ht="19.5" customHeight="1">
      <c r="A361" s="1"/>
      <c r="D361" s="1"/>
      <c r="E361" s="1"/>
    </row>
    <row r="362" spans="1:5" ht="19.5" customHeight="1">
      <c r="A362" s="1"/>
      <c r="D362" s="1"/>
      <c r="E362" s="1"/>
    </row>
    <row r="363" spans="1:5" ht="19.5" customHeight="1">
      <c r="A363" s="1"/>
      <c r="D363" s="1"/>
      <c r="E363" s="1"/>
    </row>
    <row r="364" spans="1:5" ht="19.5" customHeight="1">
      <c r="A364" s="1"/>
      <c r="D364" s="1"/>
      <c r="E364" s="1"/>
    </row>
    <row r="365" spans="1:5" ht="19.5" customHeight="1">
      <c r="A365" s="1"/>
      <c r="D365" s="1"/>
      <c r="E365" s="1"/>
    </row>
    <row r="366" spans="1:5" ht="19.5" customHeight="1">
      <c r="A366" s="1"/>
      <c r="D366" s="1"/>
      <c r="E366" s="1"/>
    </row>
    <row r="367" spans="1:5" ht="19.5" customHeight="1">
      <c r="A367" s="1"/>
      <c r="D367" s="1"/>
      <c r="E367" s="1"/>
    </row>
    <row r="368" spans="1:5" ht="19.5" customHeight="1">
      <c r="A368" s="1"/>
      <c r="D368" s="1"/>
      <c r="E368" s="1"/>
    </row>
    <row r="369" spans="1:5" ht="19.5" customHeight="1">
      <c r="A369" s="1"/>
      <c r="D369" s="1"/>
      <c r="E369" s="1"/>
    </row>
    <row r="370" spans="1:5" ht="19.5" customHeight="1">
      <c r="A370" s="1"/>
      <c r="D370" s="1"/>
      <c r="E370" s="1"/>
    </row>
    <row r="371" spans="1:5" ht="19.5" customHeight="1">
      <c r="A371" s="1"/>
      <c r="D371" s="1"/>
      <c r="E371" s="1"/>
    </row>
    <row r="372" spans="1:5" ht="19.5" customHeight="1">
      <c r="A372" s="1"/>
      <c r="D372" s="1"/>
      <c r="E372" s="1"/>
    </row>
    <row r="373" spans="1:5" ht="19.5" customHeight="1">
      <c r="A373" s="1"/>
      <c r="D373" s="1"/>
      <c r="E373" s="1"/>
    </row>
    <row r="374" spans="1:5" ht="19.5" customHeight="1">
      <c r="A374" s="1"/>
      <c r="D374" s="1"/>
      <c r="E374" s="1"/>
    </row>
    <row r="375" spans="1:5" ht="19.5" customHeight="1">
      <c r="A375" s="1"/>
      <c r="D375" s="1"/>
      <c r="E375" s="1"/>
    </row>
    <row r="376" spans="1:5" ht="19.5" customHeight="1">
      <c r="A376" s="1"/>
      <c r="D376" s="1"/>
      <c r="E376" s="1"/>
    </row>
    <row r="377" spans="1:5" ht="19.5" customHeight="1">
      <c r="A377" s="1"/>
      <c r="D377" s="1"/>
      <c r="E377" s="1"/>
    </row>
    <row r="378" spans="1:5" ht="19.5" customHeight="1">
      <c r="A378" s="1"/>
      <c r="D378" s="1"/>
      <c r="E378" s="1"/>
    </row>
    <row r="379" spans="1:5" ht="19.5" customHeight="1">
      <c r="A379" s="1"/>
      <c r="D379" s="1"/>
      <c r="E379" s="1"/>
    </row>
    <row r="380" spans="1:5" ht="19.5" customHeight="1">
      <c r="A380" s="1"/>
      <c r="D380" s="1"/>
      <c r="E380" s="1"/>
    </row>
    <row r="381" spans="1:5" ht="19.5" customHeight="1">
      <c r="A381" s="1"/>
      <c r="D381" s="1"/>
      <c r="E381" s="1"/>
    </row>
    <row r="382" spans="1:5" ht="19.5" customHeight="1">
      <c r="A382" s="1"/>
      <c r="D382" s="1"/>
      <c r="E382" s="1"/>
    </row>
    <row r="383" spans="1:5" ht="19.5" customHeight="1">
      <c r="A383" s="1"/>
      <c r="D383" s="1"/>
      <c r="E383" s="1"/>
    </row>
    <row r="384" spans="1:5" ht="19.5" customHeight="1">
      <c r="A384" s="1"/>
      <c r="D384" s="1"/>
      <c r="E384" s="1"/>
    </row>
    <row r="385" spans="1:5" ht="19.5" customHeight="1">
      <c r="A385" s="1"/>
      <c r="D385" s="1"/>
      <c r="E385" s="1"/>
    </row>
    <row r="386" spans="1:5" ht="19.5" customHeight="1">
      <c r="A386" s="1"/>
      <c r="D386" s="1"/>
      <c r="E386" s="1"/>
    </row>
    <row r="387" spans="1:5" ht="19.5" customHeight="1">
      <c r="A387" s="1"/>
      <c r="D387" s="1"/>
      <c r="E387" s="1"/>
    </row>
    <row r="388" spans="1:5" ht="19.5" customHeight="1">
      <c r="A388" s="1"/>
      <c r="D388" s="1"/>
      <c r="E388" s="1"/>
    </row>
    <row r="389" spans="1:5" ht="19.5" customHeight="1">
      <c r="A389" s="1"/>
      <c r="D389" s="1"/>
      <c r="E389" s="1"/>
    </row>
    <row r="390" spans="1:5" ht="19.5" customHeight="1">
      <c r="A390" s="1"/>
      <c r="D390" s="1"/>
      <c r="E390" s="1"/>
    </row>
    <row r="391" spans="1:5" ht="19.5" customHeight="1">
      <c r="A391" s="1"/>
      <c r="D391" s="1"/>
      <c r="E391" s="1"/>
    </row>
    <row r="392" spans="1:5" ht="19.5" customHeight="1">
      <c r="A392" s="1"/>
      <c r="D392" s="1"/>
      <c r="E392" s="1"/>
    </row>
    <row r="393" spans="1:5" ht="19.5" customHeight="1">
      <c r="A393" s="1"/>
      <c r="D393" s="1"/>
      <c r="E393" s="1"/>
    </row>
    <row r="394" spans="1:5" ht="19.5" customHeight="1">
      <c r="A394" s="1"/>
      <c r="D394" s="1"/>
      <c r="E394" s="1"/>
    </row>
    <row r="395" spans="1:5" ht="19.5" customHeight="1">
      <c r="A395" s="1"/>
      <c r="D395" s="1"/>
      <c r="E395" s="1"/>
    </row>
    <row r="396" spans="1:5" ht="19.5" customHeight="1">
      <c r="A396" s="1"/>
      <c r="D396" s="1"/>
      <c r="E396" s="1"/>
    </row>
    <row r="397" spans="1:5" ht="19.5" customHeight="1">
      <c r="A397" s="1"/>
      <c r="D397" s="1"/>
      <c r="E397" s="1"/>
    </row>
    <row r="398" spans="1:5" ht="19.5" customHeight="1">
      <c r="A398" s="1"/>
      <c r="D398" s="1"/>
      <c r="E398" s="1"/>
    </row>
    <row r="399" spans="1:5" ht="19.5" customHeight="1">
      <c r="A399" s="1"/>
      <c r="D399" s="1"/>
      <c r="E399" s="1"/>
    </row>
    <row r="400" spans="1:5" ht="19.5" customHeight="1">
      <c r="A400" s="1"/>
      <c r="D400" s="1"/>
      <c r="E400" s="1"/>
    </row>
    <row r="401" spans="1:5" ht="19.5" customHeight="1">
      <c r="A401" s="1"/>
      <c r="D401" s="1"/>
      <c r="E401" s="1"/>
    </row>
    <row r="402" spans="1:5" ht="19.5" customHeight="1">
      <c r="A402" s="1"/>
      <c r="D402" s="1"/>
      <c r="E402" s="1"/>
    </row>
    <row r="403" spans="1:5" ht="19.5" customHeight="1">
      <c r="A403" s="1"/>
      <c r="D403" s="1"/>
      <c r="E403" s="1"/>
    </row>
    <row r="404" spans="1:5" ht="19.5" customHeight="1">
      <c r="A404" s="1"/>
      <c r="D404" s="1"/>
      <c r="E404" s="1"/>
    </row>
    <row r="405" spans="1:5" ht="19.5" customHeight="1">
      <c r="A405" s="1"/>
      <c r="D405" s="1"/>
      <c r="E405" s="1"/>
    </row>
    <row r="406" spans="1:5" ht="19.5" customHeight="1">
      <c r="A406" s="1"/>
      <c r="D406" s="1"/>
      <c r="E406" s="1"/>
    </row>
    <row r="407" spans="1:5" ht="19.5" customHeight="1">
      <c r="A407" s="1"/>
      <c r="D407" s="1"/>
      <c r="E407" s="1"/>
    </row>
    <row r="408" spans="1:5" ht="19.5" customHeight="1">
      <c r="A408" s="1"/>
      <c r="D408" s="1"/>
      <c r="E408" s="1"/>
    </row>
    <row r="409" spans="1:5" ht="19.5" customHeight="1">
      <c r="A409" s="1"/>
      <c r="D409" s="1"/>
      <c r="E409" s="1"/>
    </row>
    <row r="410" spans="1:5" ht="19.5" customHeight="1">
      <c r="A410" s="1"/>
      <c r="D410" s="1"/>
      <c r="E410" s="1"/>
    </row>
    <row r="411" spans="1:5" ht="19.5" customHeight="1">
      <c r="A411" s="1"/>
      <c r="D411" s="1"/>
      <c r="E411" s="1"/>
    </row>
    <row r="412" spans="1:5" ht="19.5" customHeight="1">
      <c r="A412" s="1"/>
      <c r="D412" s="1"/>
      <c r="E412" s="1"/>
    </row>
    <row r="413" spans="1:5" ht="19.5" customHeight="1">
      <c r="A413" s="1"/>
      <c r="D413" s="1"/>
      <c r="E413" s="1"/>
    </row>
    <row r="414" spans="1:5" ht="19.5" customHeight="1">
      <c r="A414" s="1"/>
      <c r="D414" s="1"/>
      <c r="E414" s="1"/>
    </row>
    <row r="415" spans="1:5" ht="19.5" customHeight="1">
      <c r="A415" s="1"/>
      <c r="D415" s="1"/>
      <c r="E415" s="1"/>
    </row>
    <row r="416" spans="1:5" ht="19.5" customHeight="1">
      <c r="A416" s="1"/>
      <c r="D416" s="1"/>
      <c r="E416" s="1"/>
    </row>
    <row r="417" spans="1:5" ht="19.5" customHeight="1">
      <c r="A417" s="1"/>
      <c r="D417" s="1"/>
      <c r="E417" s="1"/>
    </row>
    <row r="418" spans="1:5" ht="19.5" customHeight="1">
      <c r="A418" s="1"/>
      <c r="D418" s="1"/>
      <c r="E418" s="1"/>
    </row>
    <row r="419" spans="1:5" ht="19.5" customHeight="1">
      <c r="A419" s="1"/>
      <c r="D419" s="1"/>
      <c r="E419" s="1"/>
    </row>
    <row r="420" spans="1:5" ht="19.5" customHeight="1">
      <c r="A420" s="1"/>
      <c r="D420" s="1"/>
      <c r="E420" s="1"/>
    </row>
    <row r="421" spans="1:5" ht="19.5" customHeight="1">
      <c r="A421" s="1"/>
      <c r="D421" s="1"/>
      <c r="E421" s="1"/>
    </row>
    <row r="422" spans="1:5" ht="19.5" customHeight="1">
      <c r="A422" s="1"/>
      <c r="D422" s="1"/>
      <c r="E422" s="1"/>
    </row>
    <row r="423" spans="1:5" ht="19.5" customHeight="1">
      <c r="A423" s="1"/>
      <c r="D423" s="1"/>
      <c r="E423" s="1"/>
    </row>
    <row r="424" spans="1:5" ht="19.5" customHeight="1">
      <c r="A424" s="1"/>
      <c r="D424" s="1"/>
      <c r="E424" s="1"/>
    </row>
    <row r="425" spans="1:5" ht="19.5" customHeight="1">
      <c r="A425" s="1"/>
      <c r="D425" s="1"/>
      <c r="E425" s="1"/>
    </row>
    <row r="426" spans="1:5" ht="19.5" customHeight="1">
      <c r="A426" s="1"/>
      <c r="D426" s="1"/>
      <c r="E426" s="1"/>
    </row>
    <row r="427" spans="1:5" ht="19.5" customHeight="1">
      <c r="A427" s="1"/>
      <c r="D427" s="1"/>
      <c r="E427" s="1"/>
    </row>
    <row r="428" spans="1:5" ht="19.5" customHeight="1">
      <c r="A428" s="1"/>
      <c r="D428" s="1"/>
      <c r="E428" s="1"/>
    </row>
    <row r="429" spans="1:5" ht="19.5" customHeight="1">
      <c r="A429" s="1"/>
      <c r="D429" s="1"/>
      <c r="E429" s="1"/>
    </row>
    <row r="430" spans="1:5" ht="19.5" customHeight="1">
      <c r="A430" s="1"/>
      <c r="D430" s="1"/>
      <c r="E430" s="1"/>
    </row>
    <row r="431" spans="1:5" ht="19.5" customHeight="1">
      <c r="A431" s="1"/>
      <c r="D431" s="1"/>
      <c r="E431" s="1"/>
    </row>
    <row r="432" spans="1:5" ht="19.5" customHeight="1">
      <c r="A432" s="1"/>
      <c r="D432" s="1"/>
      <c r="E432" s="1"/>
    </row>
    <row r="433" spans="1:5" ht="19.5" customHeight="1">
      <c r="A433" s="1"/>
      <c r="D433" s="1"/>
      <c r="E433" s="1"/>
    </row>
    <row r="434" spans="1:5" ht="19.5" customHeight="1">
      <c r="A434" s="1"/>
      <c r="D434" s="1"/>
      <c r="E434" s="1"/>
    </row>
    <row r="435" spans="1:5" ht="19.5" customHeight="1">
      <c r="A435" s="1"/>
      <c r="D435" s="1"/>
      <c r="E435" s="1"/>
    </row>
    <row r="436" spans="1:5" ht="19.5" customHeight="1">
      <c r="A436" s="1"/>
      <c r="D436" s="1"/>
      <c r="E436" s="1"/>
    </row>
    <row r="437" spans="1:5" ht="19.5" customHeight="1">
      <c r="A437" s="1"/>
      <c r="D437" s="1"/>
      <c r="E437" s="1"/>
    </row>
    <row r="438" spans="1:5" ht="19.5" customHeight="1">
      <c r="A438" s="1"/>
      <c r="D438" s="1"/>
      <c r="E438" s="1"/>
    </row>
    <row r="439" spans="1:5" ht="19.5" customHeight="1">
      <c r="A439" s="1"/>
      <c r="D439" s="1"/>
      <c r="E439" s="1"/>
    </row>
    <row r="440" spans="1:5" ht="19.5" customHeight="1">
      <c r="A440" s="1"/>
      <c r="D440" s="1"/>
      <c r="E440" s="1"/>
    </row>
    <row r="441" spans="1:5" ht="19.5" customHeight="1">
      <c r="A441" s="1"/>
      <c r="D441" s="1"/>
      <c r="E441" s="1"/>
    </row>
    <row r="442" spans="1:5" ht="19.5" customHeight="1">
      <c r="A442" s="1"/>
      <c r="D442" s="1"/>
      <c r="E442" s="1"/>
    </row>
    <row r="443" spans="1:5" ht="19.5" customHeight="1">
      <c r="A443" s="1"/>
      <c r="D443" s="1"/>
      <c r="E443" s="1"/>
    </row>
    <row r="444" spans="1:5" ht="19.5" customHeight="1">
      <c r="A444" s="1"/>
      <c r="D444" s="1"/>
      <c r="E444" s="1"/>
    </row>
    <row r="445" spans="1:5" ht="19.5" customHeight="1">
      <c r="A445" s="1"/>
      <c r="D445" s="1"/>
      <c r="E445" s="1"/>
    </row>
    <row r="446" spans="1:5" ht="19.5" customHeight="1">
      <c r="A446" s="1"/>
      <c r="D446" s="1"/>
      <c r="E446" s="1"/>
    </row>
    <row r="447" spans="1:5" ht="19.5" customHeight="1">
      <c r="A447" s="1"/>
      <c r="D447" s="1"/>
      <c r="E447" s="1"/>
    </row>
    <row r="448" spans="1:5" ht="19.5" customHeight="1">
      <c r="A448" s="1"/>
      <c r="D448" s="1"/>
      <c r="E448" s="1"/>
    </row>
    <row r="449" spans="1:5" ht="19.5" customHeight="1">
      <c r="A449" s="1"/>
      <c r="D449" s="1"/>
      <c r="E449" s="1"/>
    </row>
    <row r="450" spans="1:5" ht="19.5" customHeight="1">
      <c r="A450" s="1"/>
      <c r="D450" s="1"/>
      <c r="E450" s="1"/>
    </row>
    <row r="451" spans="1:5" ht="19.5" customHeight="1">
      <c r="A451" s="1"/>
      <c r="D451" s="1"/>
      <c r="E451" s="1"/>
    </row>
    <row r="452" spans="1:5" ht="19.5" customHeight="1">
      <c r="A452" s="1"/>
      <c r="D452" s="1"/>
      <c r="E452" s="1"/>
    </row>
    <row r="453" spans="1:5" ht="19.5" customHeight="1">
      <c r="A453" s="1"/>
      <c r="D453" s="1"/>
      <c r="E453" s="1"/>
    </row>
    <row r="454" spans="1:5" ht="19.5" customHeight="1">
      <c r="A454" s="1"/>
      <c r="D454" s="1"/>
      <c r="E454" s="1"/>
    </row>
    <row r="455" spans="1:5" ht="19.5" customHeight="1">
      <c r="A455" s="1"/>
      <c r="D455" s="1"/>
      <c r="E455" s="1"/>
    </row>
    <row r="456" spans="1:5" ht="19.5" customHeight="1">
      <c r="A456" s="1"/>
      <c r="D456" s="1"/>
      <c r="E456" s="1"/>
    </row>
    <row r="457" spans="1:5" ht="19.5" customHeight="1">
      <c r="A457" s="1"/>
      <c r="D457" s="1"/>
      <c r="E457" s="1"/>
    </row>
    <row r="458" spans="1:5" ht="19.5" customHeight="1">
      <c r="A458" s="1"/>
      <c r="D458" s="1"/>
      <c r="E458" s="1"/>
    </row>
    <row r="459" spans="1:5" ht="19.5" customHeight="1">
      <c r="A459" s="1"/>
      <c r="D459" s="1"/>
      <c r="E459" s="1"/>
    </row>
    <row r="460" spans="1:5" ht="19.5" customHeight="1">
      <c r="A460" s="1"/>
      <c r="D460" s="1"/>
      <c r="E460" s="1"/>
    </row>
    <row r="461" spans="1:5" ht="19.5" customHeight="1">
      <c r="A461" s="1"/>
      <c r="D461" s="1"/>
      <c r="E461" s="1"/>
    </row>
    <row r="462" spans="1:5" ht="19.5" customHeight="1">
      <c r="A462" s="1"/>
      <c r="D462" s="1"/>
      <c r="E462" s="1"/>
    </row>
    <row r="463" spans="1:5" ht="19.5" customHeight="1">
      <c r="A463" s="1"/>
      <c r="D463" s="1"/>
      <c r="E463" s="1"/>
    </row>
    <row r="464" spans="1:5" ht="19.5" customHeight="1">
      <c r="A464" s="1"/>
      <c r="D464" s="1"/>
      <c r="E464" s="1"/>
    </row>
    <row r="465" spans="1:5" ht="19.5" customHeight="1">
      <c r="A465" s="1"/>
      <c r="D465" s="1"/>
      <c r="E465" s="1"/>
    </row>
    <row r="466" spans="1:5" ht="19.5" customHeight="1">
      <c r="A466" s="1"/>
      <c r="D466" s="1"/>
      <c r="E466" s="1"/>
    </row>
    <row r="467" spans="1:5" ht="19.5" customHeight="1">
      <c r="A467" s="1"/>
      <c r="D467" s="1"/>
      <c r="E467" s="1"/>
    </row>
    <row r="468" spans="1:5" ht="19.5" customHeight="1">
      <c r="A468" s="1"/>
      <c r="D468" s="1"/>
      <c r="E468" s="1"/>
    </row>
    <row r="469" spans="1:5" ht="19.5" customHeight="1">
      <c r="A469" s="1"/>
      <c r="D469" s="1"/>
      <c r="E469" s="1"/>
    </row>
    <row r="470" spans="1:5" ht="19.5" customHeight="1">
      <c r="A470" s="1"/>
      <c r="D470" s="1"/>
      <c r="E470" s="1"/>
    </row>
    <row r="471" spans="1:5" ht="19.5" customHeight="1">
      <c r="A471" s="1"/>
      <c r="D471" s="1"/>
      <c r="E471" s="1"/>
    </row>
    <row r="472" spans="1:5" ht="19.5" customHeight="1">
      <c r="A472" s="1"/>
      <c r="D472" s="1"/>
      <c r="E472" s="1"/>
    </row>
    <row r="473" spans="1:5" ht="19.5" customHeight="1">
      <c r="A473" s="1"/>
      <c r="D473" s="1"/>
      <c r="E473" s="1"/>
    </row>
    <row r="474" spans="1:5" ht="19.5" customHeight="1">
      <c r="A474" s="1"/>
      <c r="D474" s="1"/>
      <c r="E474" s="1"/>
    </row>
    <row r="475" spans="1:5" ht="19.5" customHeight="1">
      <c r="A475" s="1"/>
      <c r="D475" s="1"/>
      <c r="E475" s="1"/>
    </row>
    <row r="476" spans="1:5" ht="19.5" customHeight="1">
      <c r="A476" s="1"/>
      <c r="D476" s="1"/>
      <c r="E476" s="1"/>
    </row>
    <row r="477" spans="1:5" ht="19.5" customHeight="1">
      <c r="A477" s="1"/>
      <c r="D477" s="1"/>
      <c r="E477" s="1"/>
    </row>
    <row r="478" spans="1:5" ht="19.5" customHeight="1">
      <c r="A478" s="1"/>
      <c r="D478" s="1"/>
      <c r="E478" s="1"/>
    </row>
    <row r="479" spans="1:5" ht="19.5" customHeight="1">
      <c r="A479" s="1"/>
      <c r="D479" s="1"/>
      <c r="E479" s="1"/>
    </row>
    <row r="480" spans="1:5" ht="19.5" customHeight="1">
      <c r="A480" s="1"/>
      <c r="D480" s="1"/>
      <c r="E480" s="1"/>
    </row>
    <row r="481" spans="1:5" ht="19.5" customHeight="1">
      <c r="A481" s="1"/>
      <c r="D481" s="1"/>
      <c r="E481" s="1"/>
    </row>
    <row r="482" spans="1:5" ht="19.5" customHeight="1">
      <c r="A482" s="1"/>
      <c r="D482" s="1"/>
      <c r="E482" s="1"/>
    </row>
    <row r="483" spans="1:5" ht="19.5" customHeight="1">
      <c r="A483" s="1"/>
      <c r="D483" s="1"/>
      <c r="E483" s="1"/>
    </row>
    <row r="484" spans="1:5" ht="19.5" customHeight="1">
      <c r="A484" s="1"/>
      <c r="D484" s="1"/>
      <c r="E484" s="1"/>
    </row>
    <row r="485" spans="1:5" ht="19.5" customHeight="1">
      <c r="A485" s="1"/>
      <c r="D485" s="1"/>
      <c r="E485" s="1"/>
    </row>
    <row r="486" spans="1:5" ht="19.5" customHeight="1">
      <c r="A486" s="1"/>
      <c r="D486" s="1"/>
      <c r="E486" s="1"/>
    </row>
    <row r="487" spans="1:5" ht="19.5" customHeight="1">
      <c r="A487" s="1"/>
      <c r="D487" s="1"/>
      <c r="E487" s="1"/>
    </row>
    <row r="488" spans="1:5" ht="19.5" customHeight="1">
      <c r="A488" s="1"/>
      <c r="D488" s="1"/>
      <c r="E488" s="1"/>
    </row>
    <row r="489" spans="1:5" ht="19.5" customHeight="1">
      <c r="A489" s="1"/>
      <c r="D489" s="1"/>
      <c r="E489" s="1"/>
    </row>
    <row r="490" spans="1:5" ht="19.5" customHeight="1">
      <c r="A490" s="1"/>
      <c r="D490" s="1"/>
      <c r="E490" s="1"/>
    </row>
    <row r="491" spans="1:5" ht="19.5" customHeight="1">
      <c r="A491" s="1"/>
      <c r="D491" s="1"/>
      <c r="E491" s="1"/>
    </row>
    <row r="492" spans="1:5" ht="19.5" customHeight="1">
      <c r="A492" s="1"/>
      <c r="D492" s="1"/>
      <c r="E492" s="1"/>
    </row>
    <row r="493" spans="1:5" ht="19.5" customHeight="1">
      <c r="A493" s="1"/>
      <c r="D493" s="1"/>
      <c r="E493" s="1"/>
    </row>
    <row r="494" spans="1:5" ht="19.5" customHeight="1">
      <c r="A494" s="1"/>
      <c r="D494" s="1"/>
      <c r="E494" s="1"/>
    </row>
    <row r="495" spans="1:5" ht="19.5" customHeight="1">
      <c r="A495" s="1"/>
      <c r="D495" s="1"/>
      <c r="E495" s="1"/>
    </row>
    <row r="496" spans="1:5" ht="19.5" customHeight="1">
      <c r="A496" s="1"/>
      <c r="D496" s="1"/>
      <c r="E496" s="1"/>
    </row>
    <row r="497" spans="1:5" ht="19.5" customHeight="1">
      <c r="A497" s="1"/>
      <c r="D497" s="1"/>
      <c r="E497" s="1"/>
    </row>
    <row r="498" spans="1:5" ht="19.5" customHeight="1">
      <c r="A498" s="1"/>
      <c r="D498" s="1"/>
      <c r="E498" s="1"/>
    </row>
    <row r="499" spans="1:5" ht="19.5" customHeight="1">
      <c r="A499" s="1"/>
      <c r="D499" s="1"/>
      <c r="E499" s="1"/>
    </row>
    <row r="500" spans="1:5" ht="19.5" customHeight="1">
      <c r="A500" s="1"/>
      <c r="D500" s="1"/>
      <c r="E500" s="1"/>
    </row>
    <row r="501" spans="1:5" ht="19.5" customHeight="1">
      <c r="A501" s="1"/>
      <c r="D501" s="1"/>
      <c r="E501" s="1"/>
    </row>
    <row r="502" spans="1:5" ht="19.5" customHeight="1">
      <c r="A502" s="1"/>
      <c r="D502" s="1"/>
      <c r="E502" s="1"/>
    </row>
    <row r="503" spans="1:5" ht="19.5" customHeight="1">
      <c r="A503" s="1"/>
      <c r="D503" s="1"/>
      <c r="E503" s="1"/>
    </row>
    <row r="504" spans="1:5" ht="19.5" customHeight="1">
      <c r="A504" s="1"/>
      <c r="D504" s="1"/>
      <c r="E504" s="1"/>
    </row>
    <row r="505" spans="1:5" ht="19.5" customHeight="1">
      <c r="A505" s="1"/>
      <c r="D505" s="1"/>
      <c r="E505" s="1"/>
    </row>
    <row r="506" spans="1:5" ht="19.5" customHeight="1">
      <c r="A506" s="1"/>
      <c r="D506" s="1"/>
      <c r="E506" s="1"/>
    </row>
    <row r="507" spans="1:5" ht="19.5" customHeight="1">
      <c r="A507" s="1"/>
      <c r="D507" s="1"/>
      <c r="E507" s="1"/>
    </row>
    <row r="508" spans="1:5" ht="19.5" customHeight="1">
      <c r="A508" s="1"/>
      <c r="D508" s="1"/>
      <c r="E508" s="1"/>
    </row>
    <row r="509" spans="1:5" ht="19.5" customHeight="1">
      <c r="A509" s="1"/>
      <c r="D509" s="1"/>
      <c r="E509" s="1"/>
    </row>
    <row r="510" spans="1:5" ht="19.5" customHeight="1">
      <c r="A510" s="1"/>
      <c r="D510" s="1"/>
      <c r="E510" s="1"/>
    </row>
    <row r="511" spans="1:5" ht="19.5" customHeight="1">
      <c r="A511" s="1"/>
      <c r="D511" s="1"/>
      <c r="E511" s="1"/>
    </row>
    <row r="512" spans="1:5" ht="19.5" customHeight="1">
      <c r="A512" s="1"/>
      <c r="D512" s="1"/>
      <c r="E512" s="1"/>
    </row>
    <row r="513" spans="1:5" ht="19.5" customHeight="1">
      <c r="A513" s="1"/>
      <c r="D513" s="1"/>
      <c r="E513" s="1"/>
    </row>
    <row r="514" spans="1:5" ht="19.5" customHeight="1">
      <c r="A514" s="1"/>
      <c r="D514" s="1"/>
      <c r="E514" s="1"/>
    </row>
    <row r="515" spans="1:5" ht="19.5" customHeight="1">
      <c r="A515" s="1"/>
      <c r="D515" s="1"/>
      <c r="E515" s="1"/>
    </row>
    <row r="516" spans="1:5" ht="19.5" customHeight="1">
      <c r="A516" s="1"/>
      <c r="D516" s="1"/>
      <c r="E516" s="1"/>
    </row>
    <row r="517" spans="1:5" ht="19.5" customHeight="1">
      <c r="A517" s="1"/>
      <c r="D517" s="1"/>
      <c r="E517" s="1"/>
    </row>
    <row r="518" spans="1:5" ht="19.5" customHeight="1">
      <c r="A518" s="1"/>
      <c r="D518" s="1"/>
      <c r="E518" s="1"/>
    </row>
    <row r="519" spans="1:5" ht="19.5" customHeight="1">
      <c r="A519" s="1"/>
      <c r="D519" s="1"/>
      <c r="E519" s="1"/>
    </row>
    <row r="520" spans="1:5" ht="19.5" customHeight="1">
      <c r="A520" s="1"/>
      <c r="D520" s="1"/>
      <c r="E520" s="1"/>
    </row>
    <row r="521" spans="1:5" ht="19.5" customHeight="1">
      <c r="A521" s="1"/>
      <c r="D521" s="1"/>
      <c r="E521" s="1"/>
    </row>
    <row r="522" spans="1:5" ht="19.5" customHeight="1">
      <c r="A522" s="1"/>
      <c r="D522" s="1"/>
      <c r="E522" s="1"/>
    </row>
    <row r="523" spans="1:5" ht="19.5" customHeight="1">
      <c r="A523" s="1"/>
      <c r="D523" s="1"/>
      <c r="E523" s="1"/>
    </row>
    <row r="524" spans="1:5" ht="19.5" customHeight="1">
      <c r="A524" s="1"/>
      <c r="D524" s="1"/>
      <c r="E524" s="1"/>
    </row>
    <row r="525" spans="1:5" ht="19.5" customHeight="1">
      <c r="A525" s="1"/>
      <c r="D525" s="1"/>
      <c r="E525" s="1"/>
    </row>
    <row r="526" spans="1:5" ht="19.5" customHeight="1">
      <c r="A526" s="1"/>
      <c r="D526" s="1"/>
      <c r="E526" s="1"/>
    </row>
    <row r="527" spans="1:5" ht="19.5" customHeight="1">
      <c r="A527" s="1"/>
      <c r="D527" s="1"/>
      <c r="E527" s="1"/>
    </row>
    <row r="528" spans="1:5" ht="19.5" customHeight="1">
      <c r="A528" s="1"/>
      <c r="D528" s="1"/>
      <c r="E528" s="1"/>
    </row>
    <row r="529" spans="1:5" ht="19.5" customHeight="1">
      <c r="A529" s="1"/>
      <c r="D529" s="1"/>
      <c r="E529" s="1"/>
    </row>
    <row r="530" spans="1:5" ht="19.5" customHeight="1">
      <c r="A530" s="1"/>
      <c r="D530" s="1"/>
      <c r="E530" s="1"/>
    </row>
    <row r="531" spans="1:5" ht="19.5" customHeight="1">
      <c r="A531" s="1"/>
      <c r="D531" s="1"/>
      <c r="E531" s="1"/>
    </row>
    <row r="532" spans="1:5" ht="19.5" customHeight="1">
      <c r="A532" s="1"/>
      <c r="D532" s="1"/>
      <c r="E532" s="1"/>
    </row>
    <row r="533" spans="1:5" ht="19.5" customHeight="1">
      <c r="A533" s="1"/>
      <c r="D533" s="1"/>
      <c r="E533" s="1"/>
    </row>
    <row r="534" spans="1:5" ht="19.5" customHeight="1">
      <c r="A534" s="1"/>
      <c r="D534" s="1"/>
      <c r="E534" s="1"/>
    </row>
    <row r="535" spans="1:5" ht="19.5" customHeight="1">
      <c r="A535" s="1"/>
      <c r="D535" s="1"/>
      <c r="E535" s="1"/>
    </row>
    <row r="536" spans="1:5" ht="19.5" customHeight="1">
      <c r="A536" s="1"/>
      <c r="D536" s="1"/>
      <c r="E536" s="1"/>
    </row>
    <row r="537" spans="1:5" ht="19.5" customHeight="1">
      <c r="A537" s="1"/>
      <c r="D537" s="1"/>
      <c r="E537" s="1"/>
    </row>
    <row r="538" spans="1:5" ht="19.5" customHeight="1">
      <c r="A538" s="1"/>
      <c r="D538" s="1"/>
      <c r="E538" s="1"/>
    </row>
    <row r="539" spans="1:5" ht="19.5" customHeight="1">
      <c r="A539" s="1"/>
      <c r="D539" s="1"/>
      <c r="E539" s="1"/>
    </row>
    <row r="540" spans="1:5" ht="19.5" customHeight="1">
      <c r="A540" s="1"/>
      <c r="D540" s="1"/>
      <c r="E540" s="1"/>
    </row>
    <row r="541" spans="1:5" ht="19.5" customHeight="1">
      <c r="A541" s="1"/>
      <c r="D541" s="1"/>
      <c r="E541" s="1"/>
    </row>
    <row r="542" spans="1:5" ht="19.5" customHeight="1">
      <c r="A542" s="1"/>
      <c r="D542" s="1"/>
      <c r="E542" s="1"/>
    </row>
    <row r="543" spans="1:5" ht="19.5" customHeight="1">
      <c r="A543" s="1"/>
      <c r="D543" s="1"/>
      <c r="E543" s="1"/>
    </row>
    <row r="544" spans="1:5" ht="19.5" customHeight="1">
      <c r="A544" s="1"/>
      <c r="D544" s="1"/>
      <c r="E544" s="1"/>
    </row>
    <row r="545" spans="1:5" ht="19.5" customHeight="1">
      <c r="A545" s="1"/>
      <c r="D545" s="1"/>
      <c r="E545" s="1"/>
    </row>
    <row r="546" spans="1:5" ht="19.5" customHeight="1">
      <c r="A546" s="1"/>
      <c r="D546" s="1"/>
      <c r="E546" s="1"/>
    </row>
    <row r="547" spans="1:5" ht="19.5" customHeight="1">
      <c r="A547" s="1"/>
      <c r="D547" s="1"/>
      <c r="E547" s="1"/>
    </row>
    <row r="548" spans="1:5" ht="19.5" customHeight="1">
      <c r="A548" s="1"/>
      <c r="D548" s="1"/>
      <c r="E548" s="1"/>
    </row>
    <row r="549" spans="1:5" ht="19.5" customHeight="1">
      <c r="A549" s="1"/>
      <c r="D549" s="1"/>
      <c r="E549" s="1"/>
    </row>
    <row r="550" spans="1:5" ht="19.5" customHeight="1">
      <c r="A550" s="1"/>
      <c r="D550" s="1"/>
      <c r="E550" s="1"/>
    </row>
    <row r="551" spans="1:5" ht="19.5" customHeight="1">
      <c r="A551" s="1"/>
      <c r="D551" s="1"/>
      <c r="E551" s="1"/>
    </row>
    <row r="552" spans="1:5" ht="19.5" customHeight="1">
      <c r="A552" s="1"/>
      <c r="D552" s="1"/>
      <c r="E552" s="1"/>
    </row>
    <row r="553" spans="1:5" ht="19.5" customHeight="1">
      <c r="A553" s="1"/>
      <c r="D553" s="1"/>
      <c r="E553" s="1"/>
    </row>
    <row r="554" spans="1:5" ht="19.5" customHeight="1">
      <c r="A554" s="1"/>
      <c r="D554" s="1"/>
      <c r="E554" s="1"/>
    </row>
    <row r="555" spans="1:5" ht="19.5" customHeight="1">
      <c r="A555" s="1"/>
      <c r="D555" s="1"/>
      <c r="E555" s="1"/>
    </row>
    <row r="556" spans="1:5" ht="19.5" customHeight="1">
      <c r="A556" s="1"/>
      <c r="D556" s="1"/>
      <c r="E556" s="1"/>
    </row>
    <row r="557" spans="1:5" ht="19.5" customHeight="1">
      <c r="A557" s="1"/>
      <c r="D557" s="1"/>
      <c r="E557" s="1"/>
    </row>
    <row r="558" spans="1:5" ht="19.5" customHeight="1">
      <c r="A558" s="1"/>
      <c r="D558" s="1"/>
      <c r="E558" s="1"/>
    </row>
    <row r="559" spans="1:5" ht="19.5" customHeight="1">
      <c r="A559" s="1"/>
      <c r="D559" s="1"/>
      <c r="E559" s="1"/>
    </row>
    <row r="560" spans="1:5" ht="19.5" customHeight="1">
      <c r="A560" s="1"/>
      <c r="D560" s="1"/>
      <c r="E560" s="1"/>
    </row>
    <row r="561" spans="1:5" ht="19.5" customHeight="1">
      <c r="A561" s="1"/>
      <c r="D561" s="1"/>
      <c r="E561" s="1"/>
    </row>
    <row r="562" spans="1:5" ht="19.5" customHeight="1">
      <c r="A562" s="1"/>
      <c r="D562" s="1"/>
      <c r="E562" s="1"/>
    </row>
    <row r="563" spans="1:5" ht="19.5" customHeight="1">
      <c r="A563" s="1"/>
      <c r="D563" s="1"/>
      <c r="E563" s="1"/>
    </row>
    <row r="564" spans="1:5" ht="19.5" customHeight="1">
      <c r="A564" s="1"/>
      <c r="D564" s="1"/>
      <c r="E564" s="1"/>
    </row>
    <row r="565" spans="1:5" ht="19.5" customHeight="1">
      <c r="A565" s="1"/>
      <c r="D565" s="1"/>
      <c r="E565" s="1"/>
    </row>
    <row r="566" spans="1:5" ht="19.5" customHeight="1">
      <c r="A566" s="1"/>
      <c r="D566" s="1"/>
      <c r="E566" s="1"/>
    </row>
    <row r="567" spans="1:5" ht="19.5" customHeight="1">
      <c r="A567" s="1"/>
      <c r="D567" s="1"/>
      <c r="E567" s="1"/>
    </row>
    <row r="568" spans="1:5" ht="19.5" customHeight="1">
      <c r="A568" s="1"/>
      <c r="D568" s="1"/>
      <c r="E568" s="1"/>
    </row>
    <row r="569" spans="1:5" ht="19.5" customHeight="1">
      <c r="A569" s="1"/>
      <c r="D569" s="1"/>
      <c r="E569" s="1"/>
    </row>
    <row r="570" spans="1:5" ht="19.5" customHeight="1">
      <c r="A570" s="1"/>
      <c r="D570" s="1"/>
      <c r="E570" s="1"/>
    </row>
    <row r="571" spans="1:5" ht="19.5" customHeight="1">
      <c r="A571" s="1"/>
      <c r="D571" s="1"/>
      <c r="E571" s="1"/>
    </row>
    <row r="572" spans="1:5" ht="19.5" customHeight="1">
      <c r="A572" s="1"/>
      <c r="D572" s="1"/>
      <c r="E572" s="1"/>
    </row>
    <row r="573" spans="1:5" ht="19.5" customHeight="1">
      <c r="A573" s="1"/>
      <c r="D573" s="1"/>
      <c r="E573" s="1"/>
    </row>
    <row r="574" spans="1:5" ht="19.5" customHeight="1">
      <c r="A574" s="1"/>
      <c r="D574" s="1"/>
      <c r="E574" s="1"/>
    </row>
    <row r="575" spans="1:5" ht="19.5" customHeight="1">
      <c r="A575" s="1"/>
      <c r="D575" s="1"/>
      <c r="E575" s="1"/>
    </row>
    <row r="576" spans="1:5" ht="19.5" customHeight="1">
      <c r="A576" s="1"/>
      <c r="D576" s="1"/>
      <c r="E576" s="1"/>
    </row>
    <row r="577" spans="1:5" ht="19.5" customHeight="1">
      <c r="A577" s="1"/>
      <c r="D577" s="1"/>
      <c r="E577" s="1"/>
    </row>
    <row r="578" spans="1:5" ht="19.5" customHeight="1">
      <c r="A578" s="1"/>
      <c r="D578" s="1"/>
      <c r="E578" s="1"/>
    </row>
    <row r="579" spans="1:5" ht="19.5" customHeight="1">
      <c r="A579" s="1"/>
      <c r="D579" s="1"/>
      <c r="E579" s="1"/>
    </row>
    <row r="580" spans="1:5" ht="19.5" customHeight="1">
      <c r="A580" s="1"/>
      <c r="D580" s="1"/>
      <c r="E580" s="1"/>
    </row>
    <row r="581" spans="1:5" ht="19.5" customHeight="1">
      <c r="A581" s="1"/>
      <c r="D581" s="1"/>
      <c r="E581" s="1"/>
    </row>
    <row r="582" spans="1:5" ht="19.5" customHeight="1">
      <c r="A582" s="1"/>
      <c r="D582" s="1"/>
      <c r="E582" s="1"/>
    </row>
    <row r="583" spans="1:5" ht="19.5" customHeight="1">
      <c r="A583" s="1"/>
      <c r="D583" s="1"/>
      <c r="E583" s="1"/>
    </row>
    <row r="584" spans="1:5" ht="19.5" customHeight="1">
      <c r="A584" s="1"/>
      <c r="D584" s="1"/>
      <c r="E584" s="1"/>
    </row>
    <row r="585" spans="1:5" ht="19.5" customHeight="1">
      <c r="A585" s="1"/>
      <c r="D585" s="1"/>
      <c r="E585" s="1"/>
    </row>
    <row r="586" spans="1:5" ht="19.5" customHeight="1">
      <c r="A586" s="1"/>
      <c r="D586" s="1"/>
      <c r="E586" s="1"/>
    </row>
    <row r="587" spans="1:5" ht="19.5" customHeight="1">
      <c r="A587" s="1"/>
      <c r="D587" s="1"/>
      <c r="E587" s="1"/>
    </row>
    <row r="588" spans="1:5" ht="19.5" customHeight="1">
      <c r="A588" s="1"/>
      <c r="D588" s="1"/>
      <c r="E588" s="1"/>
    </row>
    <row r="589" spans="1:5" ht="19.5" customHeight="1">
      <c r="A589" s="1"/>
      <c r="D589" s="1"/>
      <c r="E589" s="1"/>
    </row>
    <row r="590" spans="1:5" ht="19.5" customHeight="1">
      <c r="A590" s="1"/>
      <c r="D590" s="1"/>
      <c r="E590" s="1"/>
    </row>
    <row r="591" spans="1:5" ht="19.5" customHeight="1">
      <c r="A591" s="1"/>
      <c r="D591" s="1"/>
      <c r="E591" s="1"/>
    </row>
    <row r="592" spans="1:5" ht="19.5" customHeight="1">
      <c r="A592" s="1"/>
      <c r="D592" s="1"/>
      <c r="E592" s="1"/>
    </row>
    <row r="593" spans="1:5" ht="19.5" customHeight="1">
      <c r="A593" s="1"/>
      <c r="D593" s="1"/>
      <c r="E593" s="1"/>
    </row>
    <row r="594" spans="1:5" ht="19.5" customHeight="1">
      <c r="A594" s="1"/>
      <c r="D594" s="1"/>
      <c r="E594" s="1"/>
    </row>
    <row r="595" spans="1:5" ht="19.5" customHeight="1">
      <c r="A595" s="1"/>
      <c r="D595" s="1"/>
      <c r="E595" s="1"/>
    </row>
    <row r="596" spans="1:5" ht="19.5" customHeight="1">
      <c r="A596" s="1"/>
      <c r="D596" s="1"/>
      <c r="E596" s="1"/>
    </row>
    <row r="597" spans="1:5" ht="19.5" customHeight="1">
      <c r="A597" s="1"/>
      <c r="D597" s="1"/>
      <c r="E597" s="1"/>
    </row>
    <row r="598" spans="1:5" ht="19.5" customHeight="1">
      <c r="A598" s="1"/>
      <c r="D598" s="1"/>
      <c r="E598" s="1"/>
    </row>
    <row r="599" spans="1:5" ht="19.5" customHeight="1">
      <c r="A599" s="1"/>
      <c r="D599" s="1"/>
      <c r="E599" s="1"/>
    </row>
    <row r="600" spans="1:5" ht="19.5" customHeight="1">
      <c r="A600" s="1"/>
      <c r="D600" s="1"/>
      <c r="E600" s="1"/>
    </row>
    <row r="601" spans="1:5" ht="19.5" customHeight="1">
      <c r="A601" s="1"/>
      <c r="D601" s="1"/>
      <c r="E601" s="1"/>
    </row>
    <row r="602" spans="1:5" ht="19.5" customHeight="1">
      <c r="A602" s="1"/>
      <c r="D602" s="1"/>
      <c r="E602" s="1"/>
    </row>
    <row r="603" spans="1:5" ht="19.5" customHeight="1">
      <c r="A603" s="1"/>
      <c r="D603" s="1"/>
      <c r="E603" s="1"/>
    </row>
    <row r="604" spans="1:5" ht="19.5" customHeight="1">
      <c r="A604" s="1"/>
      <c r="D604" s="1"/>
      <c r="E604" s="1"/>
    </row>
    <row r="605" spans="1:5" ht="19.5" customHeight="1">
      <c r="A605" s="1"/>
      <c r="D605" s="1"/>
      <c r="E605" s="1"/>
    </row>
    <row r="606" spans="1:5" ht="19.5" customHeight="1">
      <c r="A606" s="1"/>
      <c r="D606" s="1"/>
      <c r="E606" s="1"/>
    </row>
    <row r="607" spans="1:5" ht="19.5" customHeight="1">
      <c r="A607" s="1"/>
      <c r="D607" s="1"/>
      <c r="E607" s="1"/>
    </row>
    <row r="608" spans="1:5" ht="19.5" customHeight="1">
      <c r="A608" s="1"/>
      <c r="D608" s="1"/>
      <c r="E608" s="1"/>
    </row>
    <row r="609" spans="1:5" ht="19.5" customHeight="1">
      <c r="A609" s="1"/>
      <c r="D609" s="1"/>
      <c r="E609" s="1"/>
    </row>
    <row r="610" spans="1:5" ht="19.5" customHeight="1">
      <c r="A610" s="1"/>
      <c r="D610" s="1"/>
      <c r="E610" s="1"/>
    </row>
    <row r="611" spans="1:5" ht="19.5" customHeight="1">
      <c r="A611" s="1"/>
      <c r="D611" s="1"/>
      <c r="E611" s="1"/>
    </row>
    <row r="612" spans="1:5" ht="19.5" customHeight="1">
      <c r="A612" s="1"/>
      <c r="D612" s="1"/>
      <c r="E612" s="1"/>
    </row>
    <row r="613" spans="1:5" ht="19.5" customHeight="1">
      <c r="A613" s="1"/>
      <c r="D613" s="1"/>
      <c r="E613" s="1"/>
    </row>
    <row r="614" spans="1:5" ht="19.5" customHeight="1">
      <c r="A614" s="1"/>
      <c r="D614" s="1"/>
      <c r="E614" s="1"/>
    </row>
    <row r="615" spans="1:5" ht="19.5" customHeight="1">
      <c r="A615" s="1"/>
      <c r="D615" s="1"/>
      <c r="E615" s="1"/>
    </row>
    <row r="616" spans="1:5" ht="19.5" customHeight="1">
      <c r="A616" s="1"/>
      <c r="D616" s="1"/>
      <c r="E616" s="1"/>
    </row>
    <row r="617" spans="1:5" ht="19.5" customHeight="1">
      <c r="A617" s="1"/>
      <c r="D617" s="1"/>
      <c r="E617" s="1"/>
    </row>
    <row r="618" spans="1:5" ht="19.5" customHeight="1">
      <c r="A618" s="1"/>
      <c r="D618" s="1"/>
      <c r="E618" s="1"/>
    </row>
    <row r="619" spans="1:5" ht="19.5" customHeight="1">
      <c r="A619" s="1"/>
      <c r="D619" s="1"/>
      <c r="E619" s="1"/>
    </row>
    <row r="620" spans="1:5" ht="19.5" customHeight="1">
      <c r="A620" s="1"/>
      <c r="D620" s="1"/>
      <c r="E620" s="1"/>
    </row>
    <row r="621" spans="1:5" ht="19.5" customHeight="1">
      <c r="A621" s="1"/>
      <c r="D621" s="1"/>
      <c r="E621" s="1"/>
    </row>
    <row r="622" spans="1:5" ht="19.5" customHeight="1">
      <c r="A622" s="1"/>
      <c r="D622" s="1"/>
      <c r="E622" s="1"/>
    </row>
    <row r="623" spans="1:5" ht="19.5" customHeight="1">
      <c r="A623" s="1"/>
      <c r="D623" s="1"/>
      <c r="E623" s="1"/>
    </row>
    <row r="624" spans="1:5" ht="19.5" customHeight="1">
      <c r="A624" s="1"/>
      <c r="D624" s="1"/>
      <c r="E624" s="1"/>
    </row>
    <row r="625" spans="1:5" ht="19.5" customHeight="1">
      <c r="A625" s="1"/>
      <c r="D625" s="1"/>
      <c r="E625" s="1"/>
    </row>
    <row r="626" spans="1:5" ht="19.5" customHeight="1">
      <c r="A626" s="1"/>
      <c r="D626" s="1"/>
      <c r="E626" s="1"/>
    </row>
    <row r="627" spans="1:5" ht="19.5" customHeight="1">
      <c r="A627" s="1"/>
      <c r="D627" s="1"/>
      <c r="E627" s="1"/>
    </row>
    <row r="628" spans="1:5" ht="19.5" customHeight="1">
      <c r="A628" s="1"/>
      <c r="D628" s="1"/>
      <c r="E628" s="1"/>
    </row>
    <row r="629" spans="1:5" ht="19.5" customHeight="1">
      <c r="A629" s="1"/>
      <c r="D629" s="1"/>
      <c r="E629" s="1"/>
    </row>
    <row r="630" spans="1:5" ht="19.5" customHeight="1">
      <c r="A630" s="1"/>
      <c r="D630" s="1"/>
      <c r="E630" s="1"/>
    </row>
    <row r="631" spans="1:5" ht="19.5" customHeight="1">
      <c r="A631" s="1"/>
      <c r="D631" s="1"/>
      <c r="E631" s="1"/>
    </row>
    <row r="632" spans="1:5" ht="19.5" customHeight="1">
      <c r="A632" s="1"/>
      <c r="D632" s="1"/>
      <c r="E632" s="1"/>
    </row>
    <row r="633" spans="1:5" ht="19.5" customHeight="1">
      <c r="A633" s="1"/>
      <c r="D633" s="1"/>
      <c r="E633" s="1"/>
    </row>
    <row r="634" spans="1:5" ht="19.5" customHeight="1">
      <c r="A634" s="1"/>
      <c r="D634" s="1"/>
      <c r="E634" s="1"/>
    </row>
    <row r="635" spans="1:5" ht="19.5" customHeight="1">
      <c r="A635" s="1"/>
      <c r="D635" s="1"/>
      <c r="E635" s="1"/>
    </row>
    <row r="636" spans="1:5" ht="19.5" customHeight="1">
      <c r="A636" s="1"/>
      <c r="D636" s="1"/>
      <c r="E636" s="1"/>
    </row>
    <row r="637" spans="1:5" ht="19.5" customHeight="1">
      <c r="A637" s="1"/>
      <c r="D637" s="1"/>
      <c r="E637" s="1"/>
    </row>
    <row r="638" spans="1:5" ht="19.5" customHeight="1">
      <c r="A638" s="1"/>
      <c r="D638" s="1"/>
      <c r="E638" s="1"/>
    </row>
    <row r="639" spans="1:5" ht="19.5" customHeight="1">
      <c r="A639" s="1"/>
      <c r="D639" s="1"/>
      <c r="E639" s="1"/>
    </row>
    <row r="640" spans="1:5" ht="19.5" customHeight="1">
      <c r="A640" s="1"/>
      <c r="D640" s="1"/>
      <c r="E640" s="1"/>
    </row>
    <row r="641" spans="1:5" ht="19.5" customHeight="1">
      <c r="A641" s="1"/>
      <c r="D641" s="1"/>
      <c r="E641" s="1"/>
    </row>
    <row r="642" spans="1:5" ht="19.5" customHeight="1">
      <c r="A642" s="1"/>
      <c r="D642" s="1"/>
      <c r="E642" s="1"/>
    </row>
    <row r="643" spans="1:5" ht="19.5" customHeight="1">
      <c r="A643" s="1"/>
      <c r="D643" s="1"/>
      <c r="E643" s="1"/>
    </row>
    <row r="644" spans="1:5" ht="19.5" customHeight="1">
      <c r="A644" s="1"/>
      <c r="D644" s="1"/>
      <c r="E644" s="1"/>
    </row>
    <row r="645" spans="1:5" ht="19.5" customHeight="1">
      <c r="A645" s="1"/>
      <c r="D645" s="1"/>
      <c r="E645" s="1"/>
    </row>
    <row r="646" spans="1:5" ht="19.5" customHeight="1">
      <c r="A646" s="1"/>
      <c r="D646" s="1"/>
      <c r="E646" s="1"/>
    </row>
    <row r="647" spans="1:5" ht="19.5" customHeight="1">
      <c r="A647" s="1"/>
      <c r="D647" s="1"/>
      <c r="E647" s="1"/>
    </row>
    <row r="648" spans="1:5" ht="19.5" customHeight="1">
      <c r="A648" s="1"/>
      <c r="D648" s="1"/>
      <c r="E648" s="1"/>
    </row>
    <row r="649" spans="1:5" ht="19.5" customHeight="1">
      <c r="A649" s="1"/>
      <c r="D649" s="1"/>
      <c r="E649" s="1"/>
    </row>
    <row r="650" spans="1:5" ht="19.5" customHeight="1">
      <c r="A650" s="1"/>
      <c r="D650" s="1"/>
      <c r="E650" s="1"/>
    </row>
    <row r="651" spans="1:5" ht="19.5" customHeight="1">
      <c r="A651" s="1"/>
      <c r="D651" s="1"/>
      <c r="E651" s="1"/>
    </row>
    <row r="652" spans="1:5" ht="19.5" customHeight="1">
      <c r="A652" s="1"/>
      <c r="D652" s="1"/>
      <c r="E652" s="1"/>
    </row>
    <row r="653" spans="1:5" ht="19.5" customHeight="1">
      <c r="A653" s="1"/>
      <c r="D653" s="1"/>
      <c r="E653" s="1"/>
    </row>
    <row r="654" spans="1:5" ht="19.5" customHeight="1">
      <c r="A654" s="1"/>
      <c r="D654" s="1"/>
      <c r="E654" s="1"/>
    </row>
    <row r="655" spans="1:5" ht="19.5" customHeight="1">
      <c r="A655" s="1"/>
      <c r="D655" s="1"/>
      <c r="E655" s="1"/>
    </row>
    <row r="656" spans="1:5" ht="19.5" customHeight="1">
      <c r="A656" s="1"/>
      <c r="D656" s="1"/>
      <c r="E656" s="1"/>
    </row>
    <row r="657" spans="1:5" ht="19.5" customHeight="1">
      <c r="A657" s="1"/>
      <c r="D657" s="1"/>
      <c r="E657" s="1"/>
    </row>
    <row r="658" spans="1:5" ht="19.5" customHeight="1">
      <c r="A658" s="1"/>
      <c r="D658" s="1"/>
      <c r="E658" s="1"/>
    </row>
    <row r="659" spans="1:5" ht="19.5" customHeight="1">
      <c r="A659" s="1"/>
      <c r="D659" s="1"/>
      <c r="E659" s="1"/>
    </row>
    <row r="660" spans="1:5" ht="19.5" customHeight="1">
      <c r="A660" s="1"/>
      <c r="D660" s="1"/>
      <c r="E660" s="1"/>
    </row>
    <row r="661" spans="1:5" ht="19.5" customHeight="1">
      <c r="A661" s="1"/>
      <c r="D661" s="1"/>
      <c r="E661" s="1"/>
    </row>
    <row r="662" spans="1:5" ht="19.5" customHeight="1">
      <c r="A662" s="1"/>
      <c r="D662" s="1"/>
      <c r="E662" s="1"/>
    </row>
    <row r="663" spans="1:5" ht="19.5" customHeight="1">
      <c r="A663" s="1"/>
      <c r="D663" s="1"/>
      <c r="E663" s="1"/>
    </row>
    <row r="664" spans="1:5" ht="19.5" customHeight="1">
      <c r="A664" s="1"/>
      <c r="D664" s="1"/>
      <c r="E664" s="1"/>
    </row>
    <row r="665" spans="1:5" ht="19.5" customHeight="1">
      <c r="A665" s="1"/>
      <c r="D665" s="1"/>
      <c r="E665" s="1"/>
    </row>
    <row r="666" spans="1:5" ht="19.5" customHeight="1">
      <c r="A666" s="1"/>
      <c r="D666" s="1"/>
      <c r="E666" s="1"/>
    </row>
    <row r="667" spans="1:5" ht="19.5" customHeight="1">
      <c r="A667" s="1"/>
      <c r="D667" s="1"/>
      <c r="E667" s="1"/>
    </row>
    <row r="668" spans="1:5" ht="19.5" customHeight="1">
      <c r="A668" s="1"/>
      <c r="D668" s="1"/>
      <c r="E668" s="1"/>
    </row>
    <row r="669" spans="1:5" ht="19.5" customHeight="1">
      <c r="A669" s="1"/>
      <c r="D669" s="1"/>
      <c r="E669" s="1"/>
    </row>
    <row r="670" spans="1:5" ht="19.5" customHeight="1">
      <c r="A670" s="1"/>
      <c r="D670" s="1"/>
      <c r="E670" s="1"/>
    </row>
    <row r="671" spans="1:5" ht="19.5" customHeight="1">
      <c r="A671" s="1"/>
      <c r="D671" s="1"/>
      <c r="E671" s="1"/>
    </row>
    <row r="672" spans="1:5" ht="19.5" customHeight="1">
      <c r="A672" s="1"/>
      <c r="D672" s="1"/>
      <c r="E672" s="1"/>
    </row>
    <row r="673" spans="1:5" ht="19.5" customHeight="1">
      <c r="A673" s="1"/>
      <c r="D673" s="1"/>
      <c r="E673" s="1"/>
    </row>
    <row r="674" spans="1:5" ht="19.5" customHeight="1">
      <c r="A674" s="1"/>
      <c r="D674" s="1"/>
      <c r="E674" s="1"/>
    </row>
    <row r="675" spans="1:5" ht="19.5" customHeight="1">
      <c r="A675" s="1"/>
      <c r="D675" s="1"/>
      <c r="E675" s="1"/>
    </row>
    <row r="676" spans="1:5" ht="19.5" customHeight="1">
      <c r="A676" s="1"/>
      <c r="D676" s="1"/>
      <c r="E676" s="1"/>
    </row>
    <row r="677" spans="1:5" ht="19.5" customHeight="1">
      <c r="A677" s="1"/>
      <c r="D677" s="1"/>
      <c r="E677" s="1"/>
    </row>
    <row r="678" spans="1:5" ht="19.5" customHeight="1">
      <c r="A678" s="1"/>
      <c r="D678" s="1"/>
      <c r="E678" s="1"/>
    </row>
    <row r="679" spans="1:5" ht="19.5" customHeight="1">
      <c r="A679" s="1"/>
      <c r="D679" s="1"/>
      <c r="E679" s="1"/>
    </row>
    <row r="680" spans="1:5" ht="19.5" customHeight="1">
      <c r="A680" s="1"/>
      <c r="D680" s="1"/>
      <c r="E680" s="1"/>
    </row>
    <row r="681" spans="1:5" ht="19.5" customHeight="1">
      <c r="A681" s="1"/>
      <c r="D681" s="1"/>
      <c r="E681" s="1"/>
    </row>
    <row r="682" spans="1:5" ht="19.5" customHeight="1">
      <c r="A682" s="1"/>
      <c r="D682" s="1"/>
      <c r="E682" s="1"/>
    </row>
    <row r="683" spans="1:5" ht="19.5" customHeight="1">
      <c r="A683" s="1"/>
      <c r="D683" s="1"/>
      <c r="E683" s="1"/>
    </row>
    <row r="684" spans="1:5" ht="19.5" customHeight="1">
      <c r="A684" s="1"/>
      <c r="D684" s="1"/>
      <c r="E684" s="1"/>
    </row>
    <row r="685" spans="1:5" ht="19.5" customHeight="1">
      <c r="A685" s="1"/>
      <c r="D685" s="1"/>
      <c r="E685" s="1"/>
    </row>
    <row r="686" spans="1:5" ht="19.5" customHeight="1">
      <c r="A686" s="1"/>
      <c r="D686" s="1"/>
      <c r="E686" s="1"/>
    </row>
    <row r="687" spans="1:5" ht="19.5" customHeight="1">
      <c r="A687" s="1"/>
      <c r="D687" s="1"/>
      <c r="E687" s="1"/>
    </row>
    <row r="688" spans="1:5" ht="19.5" customHeight="1">
      <c r="A688" s="1"/>
      <c r="D688" s="1"/>
      <c r="E688" s="1"/>
    </row>
    <row r="689" spans="1:5" ht="19.5" customHeight="1">
      <c r="A689" s="1"/>
      <c r="D689" s="1"/>
      <c r="E689" s="1"/>
    </row>
    <row r="690" spans="1:5" ht="19.5" customHeight="1">
      <c r="A690" s="1"/>
      <c r="D690" s="1"/>
      <c r="E690" s="1"/>
    </row>
    <row r="691" spans="1:5" ht="19.5" customHeight="1">
      <c r="A691" s="1"/>
      <c r="D691" s="1"/>
      <c r="E691" s="1"/>
    </row>
    <row r="692" spans="1:5" ht="19.5" customHeight="1">
      <c r="A692" s="1"/>
      <c r="D692" s="1"/>
      <c r="E692" s="1"/>
    </row>
    <row r="693" spans="1:5" ht="19.5" customHeight="1">
      <c r="A693" s="1"/>
      <c r="D693" s="1"/>
      <c r="E693" s="1"/>
    </row>
    <row r="694" spans="1:5" ht="19.5" customHeight="1">
      <c r="A694" s="1"/>
      <c r="D694" s="1"/>
      <c r="E694" s="1"/>
    </row>
    <row r="695" spans="1:5" ht="19.5" customHeight="1">
      <c r="A695" s="1"/>
      <c r="D695" s="1"/>
      <c r="E695" s="1"/>
    </row>
    <row r="696" spans="1:5" ht="19.5" customHeight="1">
      <c r="A696" s="1"/>
      <c r="D696" s="1"/>
      <c r="E696" s="1"/>
    </row>
    <row r="697" spans="1:5" ht="19.5" customHeight="1">
      <c r="A697" s="1"/>
      <c r="D697" s="1"/>
      <c r="E697" s="1"/>
    </row>
    <row r="698" spans="1:5" ht="19.5" customHeight="1">
      <c r="A698" s="1"/>
      <c r="D698" s="1"/>
      <c r="E698" s="1"/>
    </row>
    <row r="699" spans="1:5" ht="19.5" customHeight="1">
      <c r="A699" s="1"/>
      <c r="D699" s="1"/>
      <c r="E699" s="1"/>
    </row>
    <row r="700" spans="1:5" ht="19.5" customHeight="1">
      <c r="A700" s="1"/>
      <c r="D700" s="1"/>
      <c r="E700" s="1"/>
    </row>
    <row r="701" spans="1:5" ht="19.5" customHeight="1">
      <c r="A701" s="1"/>
      <c r="D701" s="1"/>
      <c r="E701" s="1"/>
    </row>
    <row r="702" spans="1:5" ht="19.5" customHeight="1">
      <c r="A702" s="1"/>
      <c r="D702" s="1"/>
      <c r="E702" s="1"/>
    </row>
    <row r="703" spans="1:5" ht="19.5" customHeight="1">
      <c r="A703" s="1"/>
      <c r="D703" s="1"/>
      <c r="E703" s="1"/>
    </row>
    <row r="704" spans="1:5" ht="19.5" customHeight="1">
      <c r="A704" s="1"/>
      <c r="D704" s="1"/>
      <c r="E704" s="1"/>
    </row>
    <row r="705" spans="1:5" ht="19.5" customHeight="1">
      <c r="A705" s="1"/>
      <c r="D705" s="1"/>
      <c r="E705" s="1"/>
    </row>
    <row r="706" spans="1:5" ht="19.5" customHeight="1">
      <c r="A706" s="1"/>
      <c r="D706" s="1"/>
      <c r="E706" s="1"/>
    </row>
    <row r="707" spans="1:5" ht="19.5" customHeight="1">
      <c r="A707" s="1"/>
      <c r="D707" s="1"/>
      <c r="E707" s="1"/>
    </row>
    <row r="708" spans="1:5" ht="19.5" customHeight="1">
      <c r="A708" s="1"/>
      <c r="D708" s="1"/>
      <c r="E708" s="1"/>
    </row>
    <row r="709" spans="1:5" ht="19.5" customHeight="1">
      <c r="A709" s="1"/>
      <c r="D709" s="1"/>
      <c r="E709" s="1"/>
    </row>
    <row r="710" spans="1:5" ht="19.5" customHeight="1">
      <c r="A710" s="1"/>
      <c r="D710" s="1"/>
      <c r="E710" s="1"/>
    </row>
    <row r="711" spans="1:5" ht="19.5" customHeight="1">
      <c r="A711" s="1"/>
      <c r="D711" s="1"/>
      <c r="E711" s="1"/>
    </row>
    <row r="712" spans="1:5" ht="19.5" customHeight="1">
      <c r="A712" s="1"/>
      <c r="D712" s="1"/>
      <c r="E712" s="1"/>
    </row>
    <row r="713" spans="1:5" ht="19.5" customHeight="1">
      <c r="A713" s="1"/>
      <c r="D713" s="1"/>
      <c r="E713" s="1"/>
    </row>
    <row r="714" spans="1:5" ht="19.5" customHeight="1">
      <c r="A714" s="1"/>
      <c r="D714" s="1"/>
      <c r="E714" s="1"/>
    </row>
    <row r="715" spans="1:5" ht="19.5" customHeight="1">
      <c r="A715" s="1"/>
      <c r="D715" s="1"/>
      <c r="E715" s="1"/>
    </row>
    <row r="716" spans="1:5" ht="19.5" customHeight="1">
      <c r="A716" s="1"/>
      <c r="D716" s="1"/>
      <c r="E716" s="1"/>
    </row>
    <row r="717" spans="1:5" ht="19.5" customHeight="1">
      <c r="A717" s="1"/>
      <c r="D717" s="1"/>
      <c r="E717" s="1"/>
    </row>
    <row r="718" spans="1:5" ht="19.5" customHeight="1">
      <c r="A718" s="1"/>
      <c r="D718" s="1"/>
      <c r="E718" s="1"/>
    </row>
    <row r="719" spans="1:5" ht="19.5" customHeight="1">
      <c r="A719" s="1"/>
      <c r="D719" s="1"/>
      <c r="E719" s="1"/>
    </row>
    <row r="720" spans="1:5" ht="19.5" customHeight="1">
      <c r="A720" s="1"/>
      <c r="D720" s="1"/>
      <c r="E720" s="1"/>
    </row>
    <row r="721" spans="1:5" ht="19.5" customHeight="1">
      <c r="A721" s="1"/>
      <c r="D721" s="1"/>
      <c r="E721" s="1"/>
    </row>
    <row r="722" spans="1:5" ht="19.5" customHeight="1">
      <c r="A722" s="1"/>
      <c r="D722" s="1"/>
      <c r="E722" s="1"/>
    </row>
    <row r="723" spans="1:5" ht="19.5" customHeight="1">
      <c r="A723" s="1"/>
      <c r="D723" s="1"/>
      <c r="E723" s="1"/>
    </row>
    <row r="724" spans="1:5" ht="19.5" customHeight="1">
      <c r="A724" s="1"/>
      <c r="D724" s="1"/>
      <c r="E724" s="1"/>
    </row>
    <row r="725" spans="1:5" ht="19.5" customHeight="1">
      <c r="A725" s="1"/>
      <c r="D725" s="1"/>
      <c r="E725" s="1"/>
    </row>
    <row r="726" spans="1:5" ht="19.5" customHeight="1">
      <c r="A726" s="1"/>
      <c r="D726" s="1"/>
      <c r="E726" s="1"/>
    </row>
    <row r="727" spans="1:5" ht="19.5" customHeight="1">
      <c r="A727" s="1"/>
      <c r="D727" s="1"/>
      <c r="E727" s="1"/>
    </row>
    <row r="728" spans="1:5" ht="19.5" customHeight="1">
      <c r="A728" s="1"/>
      <c r="D728" s="1"/>
      <c r="E728" s="1"/>
    </row>
    <row r="729" spans="1:5" ht="19.5" customHeight="1">
      <c r="A729" s="1"/>
      <c r="D729" s="1"/>
      <c r="E729" s="1"/>
    </row>
    <row r="730" spans="1:5" ht="19.5" customHeight="1">
      <c r="A730" s="1"/>
      <c r="D730" s="1"/>
      <c r="E730" s="1"/>
    </row>
    <row r="731" spans="1:5" ht="19.5" customHeight="1">
      <c r="A731" s="1"/>
      <c r="D731" s="1"/>
      <c r="E731" s="1"/>
    </row>
    <row r="732" spans="1:5" ht="19.5" customHeight="1">
      <c r="A732" s="1"/>
      <c r="D732" s="1"/>
      <c r="E732" s="1"/>
    </row>
    <row r="733" spans="1:5" ht="19.5" customHeight="1">
      <c r="A733" s="1"/>
      <c r="D733" s="1"/>
      <c r="E733" s="1"/>
    </row>
    <row r="734" spans="1:5" ht="19.5" customHeight="1">
      <c r="A734" s="1"/>
      <c r="D734" s="1"/>
      <c r="E734" s="1"/>
    </row>
    <row r="735" spans="1:5" ht="19.5" customHeight="1">
      <c r="A735" s="1"/>
      <c r="D735" s="1"/>
      <c r="E735" s="1"/>
    </row>
    <row r="736" spans="1:5" ht="19.5" customHeight="1">
      <c r="A736" s="1"/>
      <c r="D736" s="1"/>
      <c r="E736" s="1"/>
    </row>
    <row r="737" spans="1:5" ht="19.5" customHeight="1">
      <c r="A737" s="1"/>
      <c r="D737" s="1"/>
      <c r="E737" s="1"/>
    </row>
    <row r="738" spans="1:5" ht="19.5" customHeight="1">
      <c r="A738" s="1"/>
      <c r="D738" s="1"/>
      <c r="E738" s="1"/>
    </row>
    <row r="739" spans="1:5" ht="19.5" customHeight="1">
      <c r="A739" s="1"/>
      <c r="D739" s="1"/>
      <c r="E739" s="1"/>
    </row>
    <row r="740" spans="1:5" ht="19.5" customHeight="1">
      <c r="A740" s="1"/>
      <c r="D740" s="1"/>
      <c r="E740" s="1"/>
    </row>
    <row r="741" spans="1:5" ht="19.5" customHeight="1">
      <c r="A741" s="1"/>
      <c r="D741" s="1"/>
      <c r="E741" s="1"/>
    </row>
    <row r="742" spans="1:5" ht="19.5" customHeight="1">
      <c r="A742" s="1"/>
      <c r="D742" s="1"/>
      <c r="E742" s="1"/>
    </row>
    <row r="743" spans="1:5" ht="19.5" customHeight="1">
      <c r="A743" s="1"/>
      <c r="D743" s="1"/>
      <c r="E743" s="1"/>
    </row>
    <row r="744" spans="1:5" ht="19.5" customHeight="1">
      <c r="A744" s="1"/>
      <c r="D744" s="1"/>
      <c r="E744" s="1"/>
    </row>
    <row r="745" spans="1:5" ht="19.5" customHeight="1">
      <c r="A745" s="1"/>
      <c r="D745" s="1"/>
      <c r="E745" s="1"/>
    </row>
    <row r="746" spans="1:5" ht="19.5" customHeight="1">
      <c r="A746" s="1"/>
      <c r="D746" s="1"/>
      <c r="E746" s="1"/>
    </row>
    <row r="747" spans="1:5" ht="19.5" customHeight="1">
      <c r="A747" s="1"/>
      <c r="D747" s="1"/>
      <c r="E747" s="1"/>
    </row>
    <row r="748" spans="1:5" ht="19.5" customHeight="1">
      <c r="A748" s="1"/>
      <c r="D748" s="1"/>
      <c r="E748" s="1"/>
    </row>
    <row r="749" spans="1:5" ht="19.5" customHeight="1">
      <c r="A749" s="1"/>
      <c r="D749" s="1"/>
      <c r="E749" s="1"/>
    </row>
    <row r="750" spans="1:5" ht="19.5" customHeight="1">
      <c r="A750" s="1"/>
      <c r="D750" s="1"/>
      <c r="E750" s="1"/>
    </row>
    <row r="751" spans="1:5" ht="19.5" customHeight="1">
      <c r="A751" s="1"/>
      <c r="D751" s="1"/>
      <c r="E751" s="1"/>
    </row>
    <row r="752" spans="1:5" ht="19.5" customHeight="1">
      <c r="A752" s="1"/>
      <c r="D752" s="1"/>
      <c r="E752" s="1"/>
    </row>
    <row r="753" spans="1:5" ht="19.5" customHeight="1">
      <c r="A753" s="1"/>
      <c r="D753" s="1"/>
      <c r="E753" s="1"/>
    </row>
    <row r="754" spans="1:5" ht="19.5" customHeight="1">
      <c r="A754" s="1"/>
      <c r="D754" s="1"/>
      <c r="E754" s="1"/>
    </row>
    <row r="755" spans="1:5" ht="19.5" customHeight="1">
      <c r="A755" s="1"/>
      <c r="D755" s="1"/>
      <c r="E755" s="1"/>
    </row>
    <row r="756" spans="1:5" ht="19.5" customHeight="1">
      <c r="A756" s="1"/>
      <c r="D756" s="1"/>
      <c r="E756" s="1"/>
    </row>
    <row r="757" spans="1:5" ht="19.5" customHeight="1">
      <c r="A757" s="1"/>
      <c r="D757" s="1"/>
      <c r="E757" s="1"/>
    </row>
    <row r="758" spans="1:5" ht="19.5" customHeight="1">
      <c r="A758" s="1"/>
      <c r="D758" s="1"/>
      <c r="E758" s="1"/>
    </row>
    <row r="759" spans="1:5" ht="19.5" customHeight="1">
      <c r="A759" s="1"/>
      <c r="D759" s="1"/>
      <c r="E759" s="1"/>
    </row>
    <row r="760" spans="1:5" ht="19.5" customHeight="1">
      <c r="A760" s="1"/>
      <c r="D760" s="1"/>
      <c r="E760" s="1"/>
    </row>
    <row r="761" spans="1:5" ht="19.5" customHeight="1">
      <c r="A761" s="1"/>
      <c r="D761" s="1"/>
      <c r="E761" s="1"/>
    </row>
    <row r="762" spans="1:5" ht="19.5" customHeight="1">
      <c r="A762" s="1"/>
      <c r="D762" s="1"/>
      <c r="E762" s="1"/>
    </row>
    <row r="763" spans="1:5" ht="19.5" customHeight="1">
      <c r="A763" s="1"/>
      <c r="D763" s="1"/>
      <c r="E763" s="1"/>
    </row>
    <row r="764" spans="1:5" ht="19.5" customHeight="1">
      <c r="A764" s="1"/>
      <c r="D764" s="1"/>
      <c r="E764" s="1"/>
    </row>
    <row r="765" spans="1:5" ht="19.5" customHeight="1">
      <c r="A765" s="1"/>
      <c r="D765" s="1"/>
      <c r="E765" s="1"/>
    </row>
    <row r="766" spans="1:5" ht="19.5" customHeight="1">
      <c r="A766" s="1"/>
      <c r="D766" s="1"/>
      <c r="E766" s="1"/>
    </row>
    <row r="767" spans="1:5" ht="19.5" customHeight="1">
      <c r="A767" s="1"/>
      <c r="D767" s="1"/>
      <c r="E767" s="1"/>
    </row>
    <row r="768" spans="1:5" ht="19.5" customHeight="1">
      <c r="A768" s="1"/>
      <c r="D768" s="1"/>
      <c r="E768" s="1"/>
    </row>
    <row r="769" spans="1:5" ht="19.5" customHeight="1">
      <c r="A769" s="1"/>
      <c r="D769" s="1"/>
      <c r="E769" s="1"/>
    </row>
    <row r="770" spans="1:5" ht="19.5" customHeight="1">
      <c r="A770" s="1"/>
      <c r="D770" s="1"/>
      <c r="E770" s="1"/>
    </row>
    <row r="771" spans="1:5" ht="19.5" customHeight="1">
      <c r="A771" s="1"/>
      <c r="D771" s="1"/>
      <c r="E771" s="1"/>
    </row>
    <row r="772" spans="1:5" ht="19.5" customHeight="1">
      <c r="A772" s="1"/>
      <c r="D772" s="1"/>
      <c r="E772" s="1"/>
    </row>
    <row r="773" spans="1:5" ht="19.5" customHeight="1">
      <c r="A773" s="1"/>
      <c r="D773" s="1"/>
      <c r="E773" s="1"/>
    </row>
    <row r="774" spans="1:5" ht="19.5" customHeight="1">
      <c r="A774" s="1"/>
      <c r="D774" s="1"/>
      <c r="E774" s="1"/>
    </row>
    <row r="775" spans="1:5" ht="19.5" customHeight="1">
      <c r="A775" s="1"/>
      <c r="D775" s="1"/>
      <c r="E775" s="1"/>
    </row>
    <row r="776" spans="1:5" ht="19.5" customHeight="1">
      <c r="A776" s="1"/>
      <c r="D776" s="1"/>
      <c r="E776" s="1"/>
    </row>
    <row r="777" spans="1:5" ht="19.5" customHeight="1">
      <c r="A777" s="1"/>
      <c r="D777" s="1"/>
      <c r="E777" s="1"/>
    </row>
    <row r="778" spans="1:5" ht="19.5" customHeight="1">
      <c r="A778" s="1"/>
      <c r="D778" s="1"/>
      <c r="E778" s="1"/>
    </row>
    <row r="779" spans="1:5" ht="19.5" customHeight="1">
      <c r="A779" s="1"/>
      <c r="D779" s="1"/>
      <c r="E779" s="1"/>
    </row>
    <row r="780" spans="1:5" ht="19.5" customHeight="1">
      <c r="A780" s="1"/>
      <c r="D780" s="1"/>
      <c r="E780" s="1"/>
    </row>
    <row r="781" spans="1:5" ht="19.5" customHeight="1">
      <c r="A781" s="1"/>
      <c r="D781" s="1"/>
      <c r="E781" s="1"/>
    </row>
    <row r="782" spans="1:5" ht="19.5" customHeight="1">
      <c r="A782" s="1"/>
      <c r="D782" s="1"/>
      <c r="E782" s="1"/>
    </row>
    <row r="783" spans="1:5" ht="19.5" customHeight="1">
      <c r="A783" s="1"/>
      <c r="D783" s="1"/>
      <c r="E783" s="1"/>
    </row>
    <row r="784" spans="1:5" ht="19.5" customHeight="1">
      <c r="A784" s="1"/>
      <c r="D784" s="1"/>
      <c r="E784" s="1"/>
    </row>
    <row r="785" spans="1:5" ht="19.5" customHeight="1">
      <c r="A785" s="3"/>
      <c r="B785" s="3"/>
      <c r="E785" s="5"/>
    </row>
    <row r="786" spans="1:5" ht="19.5" customHeight="1">
      <c r="A786" s="3"/>
      <c r="B786" s="3"/>
      <c r="E786" s="5"/>
    </row>
    <row r="787" spans="1:5" ht="19.5" customHeight="1">
      <c r="A787" s="3"/>
      <c r="B787" s="3"/>
      <c r="E787" s="5"/>
    </row>
    <row r="788" spans="1:5" ht="19.5" customHeight="1">
      <c r="A788" s="3"/>
      <c r="B788" s="3"/>
      <c r="E788" s="5"/>
    </row>
    <row r="789" spans="1:5" ht="19.5" customHeight="1">
      <c r="A789" s="3"/>
      <c r="B789" s="3"/>
      <c r="E789" s="5"/>
    </row>
  </sheetData>
  <sheetProtection/>
  <mergeCells count="25">
    <mergeCell ref="A94:B94"/>
    <mergeCell ref="A115:E115"/>
    <mergeCell ref="A104:E104"/>
    <mergeCell ref="A105:E105"/>
    <mergeCell ref="A123:C123"/>
    <mergeCell ref="A126:E126"/>
    <mergeCell ref="A98:B98"/>
    <mergeCell ref="A108:B108"/>
    <mergeCell ref="A109:B109"/>
    <mergeCell ref="C1:E1"/>
    <mergeCell ref="A2:E2"/>
    <mergeCell ref="A3:E3"/>
    <mergeCell ref="A4:B4"/>
    <mergeCell ref="C4:C6"/>
    <mergeCell ref="A85:E85"/>
    <mergeCell ref="A87:E87"/>
    <mergeCell ref="A79:E79"/>
    <mergeCell ref="A80:E80"/>
    <mergeCell ref="A82:E82"/>
    <mergeCell ref="A106:B106"/>
    <mergeCell ref="A116:E116"/>
    <mergeCell ref="A86:E86"/>
    <mergeCell ref="A93:E93"/>
    <mergeCell ref="A92:E92"/>
    <mergeCell ref="A97:B97"/>
  </mergeCells>
  <printOptions/>
  <pageMargins left="0.2362204724409449" right="0.11811023622047245" top="0.35433070866141736" bottom="0.11811023622047245" header="0.11811023622047245" footer="0.1574803149606299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8"/>
  <sheetViews>
    <sheetView zoomScaleSheetLayoutView="100" workbookViewId="0" topLeftCell="A1">
      <selection activeCell="A71" sqref="A71"/>
    </sheetView>
  </sheetViews>
  <sheetFormatPr defaultColWidth="9.140625" defaultRowHeight="12.75"/>
  <cols>
    <col min="1" max="1" width="42.28125" style="167" customWidth="1"/>
    <col min="2" max="2" width="7.140625" style="156" customWidth="1"/>
    <col min="3" max="3" width="12.00390625" style="157" customWidth="1"/>
    <col min="4" max="4" width="11.8515625" style="157" customWidth="1"/>
    <col min="5" max="5" width="11.8515625" style="157" bestFit="1" customWidth="1"/>
    <col min="6" max="6" width="12.8515625" style="157" customWidth="1"/>
    <col min="7" max="16384" width="9.140625" style="1" customWidth="1"/>
  </cols>
  <sheetData>
    <row r="1" spans="1:6" ht="18.75">
      <c r="A1" s="300"/>
      <c r="B1" s="300"/>
      <c r="C1" s="300"/>
      <c r="D1" s="300"/>
      <c r="E1" s="300"/>
      <c r="F1" s="300"/>
    </row>
    <row r="2" spans="1:6" ht="18.75">
      <c r="A2" s="300" t="s">
        <v>495</v>
      </c>
      <c r="B2" s="300"/>
      <c r="C2" s="300"/>
      <c r="D2" s="300"/>
      <c r="E2" s="300"/>
      <c r="F2" s="300"/>
    </row>
    <row r="3" spans="1:6" ht="18.75">
      <c r="A3" s="301" t="s">
        <v>80</v>
      </c>
      <c r="B3" s="301"/>
      <c r="C3" s="301"/>
      <c r="D3" s="301"/>
      <c r="E3" s="301"/>
      <c r="F3" s="301"/>
    </row>
    <row r="4" spans="1:6" ht="18.75">
      <c r="A4" s="302" t="s">
        <v>11</v>
      </c>
      <c r="B4" s="303"/>
      <c r="C4" s="304"/>
      <c r="D4" s="304"/>
      <c r="E4" s="304"/>
      <c r="F4" s="305"/>
    </row>
    <row r="5" spans="1:6" ht="18.75">
      <c r="A5" s="308" t="s">
        <v>25</v>
      </c>
      <c r="B5" s="306" t="s">
        <v>3</v>
      </c>
      <c r="C5" s="306" t="s">
        <v>23</v>
      </c>
      <c r="D5" s="306" t="s">
        <v>38</v>
      </c>
      <c r="E5" s="306" t="s">
        <v>39</v>
      </c>
      <c r="F5" s="144" t="s">
        <v>145</v>
      </c>
    </row>
    <row r="6" spans="1:6" ht="18.75">
      <c r="A6" s="308"/>
      <c r="B6" s="306"/>
      <c r="C6" s="306"/>
      <c r="D6" s="306"/>
      <c r="E6" s="306"/>
      <c r="F6" s="144" t="s">
        <v>23</v>
      </c>
    </row>
    <row r="7" spans="1:6" ht="18.75">
      <c r="A7" s="158" t="s">
        <v>40</v>
      </c>
      <c r="B7" s="149"/>
      <c r="C7" s="145"/>
      <c r="D7" s="145"/>
      <c r="E7" s="145"/>
      <c r="F7" s="145"/>
    </row>
    <row r="8" spans="1:6" ht="18.75">
      <c r="A8" s="159" t="s">
        <v>41</v>
      </c>
      <c r="B8" s="85" t="s">
        <v>385</v>
      </c>
      <c r="C8" s="91"/>
      <c r="D8" s="91"/>
      <c r="E8" s="91"/>
      <c r="F8" s="91"/>
    </row>
    <row r="9" spans="1:6" ht="18.75">
      <c r="A9" s="160" t="s">
        <v>42</v>
      </c>
      <c r="B9" s="146">
        <v>411001</v>
      </c>
      <c r="C9" s="91">
        <v>140000</v>
      </c>
      <c r="D9" s="238">
        <v>8286</v>
      </c>
      <c r="E9" s="91">
        <f>507+8286</f>
        <v>8793</v>
      </c>
      <c r="F9" s="91">
        <f>E9-C9</f>
        <v>-131207</v>
      </c>
    </row>
    <row r="10" spans="1:6" ht="18.75">
      <c r="A10" s="160" t="s">
        <v>43</v>
      </c>
      <c r="B10" s="146">
        <v>411002</v>
      </c>
      <c r="C10" s="91">
        <v>107000</v>
      </c>
      <c r="D10" s="236">
        <v>11543.2</v>
      </c>
      <c r="E10" s="91">
        <f>343.88+11543.2</f>
        <v>11887.08</v>
      </c>
      <c r="F10" s="91">
        <f>SUM(E10-C10)</f>
        <v>-95112.92</v>
      </c>
    </row>
    <row r="11" spans="1:6" ht="18.75">
      <c r="A11" s="160" t="s">
        <v>57</v>
      </c>
      <c r="B11" s="146">
        <v>411003</v>
      </c>
      <c r="C11" s="91">
        <v>10000</v>
      </c>
      <c r="D11" s="236">
        <v>200</v>
      </c>
      <c r="E11" s="91">
        <f>200</f>
        <v>200</v>
      </c>
      <c r="F11" s="91">
        <f>E11-C11</f>
        <v>-9800</v>
      </c>
    </row>
    <row r="12" spans="1:6" ht="19.5" thickBot="1">
      <c r="A12" s="161" t="s">
        <v>20</v>
      </c>
      <c r="B12" s="6"/>
      <c r="C12" s="148">
        <f>SUM(C9:C11)</f>
        <v>257000</v>
      </c>
      <c r="D12" s="148">
        <f>SUM(D9:D11)</f>
        <v>20029.2</v>
      </c>
      <c r="E12" s="148">
        <f>SUM(E9:E11)</f>
        <v>20880.08</v>
      </c>
      <c r="F12" s="148">
        <f>SUM(F9:F11)</f>
        <v>-236119.91999999998</v>
      </c>
    </row>
    <row r="13" spans="1:6" ht="19.5" thickTop="1">
      <c r="A13" s="162" t="s">
        <v>44</v>
      </c>
      <c r="B13" s="143" t="s">
        <v>386</v>
      </c>
      <c r="C13" s="91"/>
      <c r="D13" s="91"/>
      <c r="E13" s="91"/>
      <c r="F13" s="91"/>
    </row>
    <row r="14" spans="1:6" ht="18.75">
      <c r="A14" s="265" t="s">
        <v>436</v>
      </c>
      <c r="B14" s="16" t="s">
        <v>437</v>
      </c>
      <c r="C14" s="91">
        <v>0</v>
      </c>
      <c r="D14" s="91">
        <v>1222.2</v>
      </c>
      <c r="E14" s="91">
        <f>19.4+1222.2</f>
        <v>1241.6000000000001</v>
      </c>
      <c r="F14" s="91">
        <f>E14-C14</f>
        <v>1241.6000000000001</v>
      </c>
    </row>
    <row r="15" spans="1:6" ht="18.75">
      <c r="A15" s="160" t="s">
        <v>445</v>
      </c>
      <c r="B15" s="146">
        <v>412106</v>
      </c>
      <c r="C15" s="91">
        <v>1600</v>
      </c>
      <c r="D15" s="91">
        <v>75</v>
      </c>
      <c r="E15" s="91">
        <f>555+107+75</f>
        <v>737</v>
      </c>
      <c r="F15" s="91">
        <f aca="true" t="shared" si="0" ref="F15:F23">E15-C15</f>
        <v>-863</v>
      </c>
    </row>
    <row r="16" spans="1:6" ht="18.75">
      <c r="A16" s="160" t="s">
        <v>438</v>
      </c>
      <c r="B16" s="146">
        <v>412111</v>
      </c>
      <c r="C16" s="91">
        <v>200</v>
      </c>
      <c r="D16" s="238">
        <v>0</v>
      </c>
      <c r="E16" s="91">
        <v>20</v>
      </c>
      <c r="F16" s="91">
        <f t="shared" si="0"/>
        <v>-180</v>
      </c>
    </row>
    <row r="17" spans="1:6" ht="18.75">
      <c r="A17" s="160" t="s">
        <v>439</v>
      </c>
      <c r="B17" s="146">
        <v>412128</v>
      </c>
      <c r="C17" s="91">
        <v>300</v>
      </c>
      <c r="D17" s="91">
        <v>0</v>
      </c>
      <c r="E17" s="91">
        <f>150+50</f>
        <v>200</v>
      </c>
      <c r="F17" s="91">
        <f t="shared" si="0"/>
        <v>-100</v>
      </c>
    </row>
    <row r="18" spans="1:6" ht="18.75">
      <c r="A18" s="160" t="s">
        <v>440</v>
      </c>
      <c r="B18" s="10" t="s">
        <v>401</v>
      </c>
      <c r="C18" s="91">
        <v>4400</v>
      </c>
      <c r="D18" s="91">
        <v>0</v>
      </c>
      <c r="E18" s="91">
        <v>24240</v>
      </c>
      <c r="F18" s="91">
        <f t="shared" si="0"/>
        <v>19840</v>
      </c>
    </row>
    <row r="19" spans="1:6" ht="18.75">
      <c r="A19" s="160" t="s">
        <v>441</v>
      </c>
      <c r="B19" s="10" t="s">
        <v>402</v>
      </c>
      <c r="C19" s="91">
        <v>1000</v>
      </c>
      <c r="D19" s="238">
        <v>0</v>
      </c>
      <c r="E19" s="91">
        <v>1000</v>
      </c>
      <c r="F19" s="91">
        <f t="shared" si="0"/>
        <v>0</v>
      </c>
    </row>
    <row r="20" spans="1:6" ht="18.75">
      <c r="A20" s="160" t="s">
        <v>442</v>
      </c>
      <c r="B20" s="10" t="s">
        <v>403</v>
      </c>
      <c r="C20" s="91">
        <v>59000</v>
      </c>
      <c r="D20" s="91">
        <v>900</v>
      </c>
      <c r="E20" s="91">
        <f>360+900</f>
        <v>1260</v>
      </c>
      <c r="F20" s="91">
        <f t="shared" si="0"/>
        <v>-57740</v>
      </c>
    </row>
    <row r="21" spans="1:6" ht="18.75">
      <c r="A21" s="160" t="s">
        <v>443</v>
      </c>
      <c r="B21" s="10" t="s">
        <v>404</v>
      </c>
      <c r="C21" s="91">
        <v>15000</v>
      </c>
      <c r="D21" s="91">
        <v>2880</v>
      </c>
      <c r="E21" s="91">
        <f>4140+1540+2880</f>
        <v>8560</v>
      </c>
      <c r="F21" s="91">
        <f t="shared" si="0"/>
        <v>-6440</v>
      </c>
    </row>
    <row r="22" spans="1:6" ht="18.75">
      <c r="A22" s="160" t="s">
        <v>444</v>
      </c>
      <c r="B22" s="10" t="s">
        <v>405</v>
      </c>
      <c r="C22" s="91">
        <v>500</v>
      </c>
      <c r="D22" s="91">
        <v>20</v>
      </c>
      <c r="E22" s="91">
        <f>100+40+20</f>
        <v>160</v>
      </c>
      <c r="F22" s="91">
        <f t="shared" si="0"/>
        <v>-340</v>
      </c>
    </row>
    <row r="23" spans="1:6" ht="19.5" thickBot="1">
      <c r="A23" s="161" t="s">
        <v>20</v>
      </c>
      <c r="B23" s="149"/>
      <c r="C23" s="148">
        <f>SUM(C15:C22)</f>
        <v>82000</v>
      </c>
      <c r="D23" s="148">
        <f>SUM(D14:D22)</f>
        <v>5097.2</v>
      </c>
      <c r="E23" s="148">
        <f>SUM(E14:E22)</f>
        <v>37418.6</v>
      </c>
      <c r="F23" s="148">
        <f t="shared" si="0"/>
        <v>-44581.4</v>
      </c>
    </row>
    <row r="24" spans="1:6" ht="19.5" thickTop="1">
      <c r="A24" s="163" t="s">
        <v>45</v>
      </c>
      <c r="B24" s="85" t="s">
        <v>387</v>
      </c>
      <c r="C24" s="91"/>
      <c r="D24" s="91"/>
      <c r="E24" s="91"/>
      <c r="F24" s="91"/>
    </row>
    <row r="25" spans="1:6" ht="18.75">
      <c r="A25" s="160" t="s">
        <v>46</v>
      </c>
      <c r="B25" s="10" t="s">
        <v>406</v>
      </c>
      <c r="C25" s="91">
        <v>250000</v>
      </c>
      <c r="D25" s="91">
        <v>2794.93</v>
      </c>
      <c r="E25" s="91">
        <f>2794.93+7921.51+70513.24+2794.93</f>
        <v>84024.61</v>
      </c>
      <c r="F25" s="91">
        <f>E25-C25</f>
        <v>-165975.39</v>
      </c>
    </row>
    <row r="26" spans="1:6" ht="19.5" thickBot="1">
      <c r="A26" s="161" t="s">
        <v>20</v>
      </c>
      <c r="B26" s="149"/>
      <c r="C26" s="148">
        <f>SUM(C25)</f>
        <v>250000</v>
      </c>
      <c r="D26" s="148">
        <f>SUM(D25)</f>
        <v>2794.93</v>
      </c>
      <c r="E26" s="148">
        <f>SUM(E25)</f>
        <v>84024.61</v>
      </c>
      <c r="F26" s="148">
        <f>SUM(F25)</f>
        <v>-165975.39</v>
      </c>
    </row>
    <row r="27" spans="1:6" ht="19.5" thickTop="1">
      <c r="A27" s="163" t="s">
        <v>47</v>
      </c>
      <c r="B27" s="85" t="s">
        <v>388</v>
      </c>
      <c r="C27" s="91"/>
      <c r="D27" s="91"/>
      <c r="E27" s="91"/>
      <c r="F27" s="91"/>
    </row>
    <row r="28" spans="1:6" ht="18.75">
      <c r="A28" s="160" t="s">
        <v>48</v>
      </c>
      <c r="B28" s="10" t="s">
        <v>407</v>
      </c>
      <c r="C28" s="91">
        <v>32000</v>
      </c>
      <c r="D28" s="150">
        <v>59000</v>
      </c>
      <c r="E28" s="91">
        <f>59000</f>
        <v>59000</v>
      </c>
      <c r="F28" s="91">
        <f>E28-C28</f>
        <v>27000</v>
      </c>
    </row>
    <row r="29" spans="1:6" ht="18.75">
      <c r="A29" s="160" t="s">
        <v>82</v>
      </c>
      <c r="B29" s="10" t="s">
        <v>408</v>
      </c>
      <c r="C29" s="91">
        <v>600</v>
      </c>
      <c r="D29" s="238">
        <v>300</v>
      </c>
      <c r="E29" s="91">
        <f>200+300</f>
        <v>500</v>
      </c>
      <c r="F29" s="91">
        <f>E29-C29</f>
        <v>-100</v>
      </c>
    </row>
    <row r="30" spans="1:6" ht="18.75">
      <c r="A30" s="160" t="s">
        <v>83</v>
      </c>
      <c r="B30" s="10" t="s">
        <v>409</v>
      </c>
      <c r="C30" s="91">
        <v>900</v>
      </c>
      <c r="D30" s="150">
        <v>0</v>
      </c>
      <c r="E30" s="91">
        <v>300</v>
      </c>
      <c r="F30" s="91">
        <f>E30-C30</f>
        <v>-600</v>
      </c>
    </row>
    <row r="31" spans="1:6" ht="19.5" thickBot="1">
      <c r="A31" s="161" t="s">
        <v>20</v>
      </c>
      <c r="B31" s="10"/>
      <c r="C31" s="148">
        <f>SUM(C28:C30)</f>
        <v>33500</v>
      </c>
      <c r="D31" s="148">
        <f>SUM(D28:D30)</f>
        <v>59300</v>
      </c>
      <c r="E31" s="148">
        <f>SUM(E28:E30)</f>
        <v>59800</v>
      </c>
      <c r="F31" s="148">
        <f>SUM(F28:F30)</f>
        <v>26300</v>
      </c>
    </row>
    <row r="32" spans="1:6" ht="19.5" thickTop="1">
      <c r="A32" s="159" t="s">
        <v>81</v>
      </c>
      <c r="B32" s="85" t="s">
        <v>389</v>
      </c>
      <c r="C32" s="91"/>
      <c r="D32" s="91"/>
      <c r="E32" s="91"/>
      <c r="F32" s="91"/>
    </row>
    <row r="33" spans="1:6" ht="18.75">
      <c r="A33" s="160" t="s">
        <v>84</v>
      </c>
      <c r="B33" s="10" t="s">
        <v>410</v>
      </c>
      <c r="C33" s="91">
        <v>1000</v>
      </c>
      <c r="D33" s="238">
        <v>0</v>
      </c>
      <c r="E33" s="238">
        <v>535</v>
      </c>
      <c r="F33" s="91">
        <f>E33-C33</f>
        <v>-465</v>
      </c>
    </row>
    <row r="34" spans="1:6" ht="19.5" thickBot="1">
      <c r="A34" s="164" t="s">
        <v>20</v>
      </c>
      <c r="B34" s="151"/>
      <c r="C34" s="148">
        <f>SUM(C33)</f>
        <v>1000</v>
      </c>
      <c r="D34" s="237">
        <f>SUM(D33)</f>
        <v>0</v>
      </c>
      <c r="E34" s="237">
        <f>SUM(E33)</f>
        <v>535</v>
      </c>
      <c r="F34" s="148">
        <f>E34-C34</f>
        <v>-465</v>
      </c>
    </row>
    <row r="35" spans="1:6" ht="18.75" customHeight="1" thickTop="1">
      <c r="A35" s="309"/>
      <c r="B35" s="309"/>
      <c r="C35" s="309"/>
      <c r="D35" s="309"/>
      <c r="E35" s="309"/>
      <c r="F35" s="309"/>
    </row>
    <row r="36" spans="1:6" ht="18.75" customHeight="1">
      <c r="A36" s="152"/>
      <c r="B36" s="152"/>
      <c r="C36" s="152"/>
      <c r="D36" s="152"/>
      <c r="E36" s="152"/>
      <c r="F36" s="152"/>
    </row>
    <row r="37" spans="1:6" ht="18.75" customHeight="1">
      <c r="A37" s="152"/>
      <c r="B37" s="152"/>
      <c r="C37" s="152"/>
      <c r="D37" s="152"/>
      <c r="E37" s="152"/>
      <c r="F37" s="152"/>
    </row>
    <row r="38" spans="1:6" ht="18.75" customHeight="1">
      <c r="A38" s="152"/>
      <c r="B38" s="152"/>
      <c r="C38" s="152"/>
      <c r="D38" s="152"/>
      <c r="E38" s="152"/>
      <c r="F38" s="152"/>
    </row>
    <row r="39" spans="1:6" ht="18.75" customHeight="1">
      <c r="A39" s="152"/>
      <c r="B39" s="152"/>
      <c r="C39" s="152"/>
      <c r="D39" s="152"/>
      <c r="E39" s="152"/>
      <c r="F39" s="152"/>
    </row>
    <row r="40" spans="1:6" ht="18.75" customHeight="1">
      <c r="A40" s="152"/>
      <c r="B40" s="152"/>
      <c r="C40" s="152"/>
      <c r="D40" s="152"/>
      <c r="E40" s="152"/>
      <c r="F40" s="152"/>
    </row>
    <row r="41" spans="1:6" ht="18.75" customHeight="1">
      <c r="A41" s="152"/>
      <c r="B41" s="152"/>
      <c r="C41" s="152"/>
      <c r="D41" s="152"/>
      <c r="E41" s="152"/>
      <c r="F41" s="152"/>
    </row>
    <row r="42" spans="1:6" ht="18.75" customHeight="1">
      <c r="A42" s="307" t="s">
        <v>54</v>
      </c>
      <c r="B42" s="307"/>
      <c r="C42" s="307"/>
      <c r="D42" s="307"/>
      <c r="E42" s="307"/>
      <c r="F42" s="307"/>
    </row>
    <row r="43" spans="1:6" ht="18.75">
      <c r="A43" s="302" t="s">
        <v>11</v>
      </c>
      <c r="B43" s="303"/>
      <c r="C43" s="304"/>
      <c r="D43" s="304"/>
      <c r="E43" s="304"/>
      <c r="F43" s="305"/>
    </row>
    <row r="44" spans="1:6" ht="18.75">
      <c r="A44" s="308" t="s">
        <v>25</v>
      </c>
      <c r="B44" s="306" t="s">
        <v>3</v>
      </c>
      <c r="C44" s="306" t="s">
        <v>23</v>
      </c>
      <c r="D44" s="306" t="s">
        <v>38</v>
      </c>
      <c r="E44" s="306" t="s">
        <v>39</v>
      </c>
      <c r="F44" s="144" t="s">
        <v>145</v>
      </c>
    </row>
    <row r="45" spans="1:6" ht="18.75">
      <c r="A45" s="308"/>
      <c r="B45" s="306"/>
      <c r="C45" s="306"/>
      <c r="D45" s="306"/>
      <c r="E45" s="306"/>
      <c r="F45" s="144" t="s">
        <v>23</v>
      </c>
    </row>
    <row r="46" spans="1:6" ht="18.75">
      <c r="A46" s="165" t="s">
        <v>85</v>
      </c>
      <c r="B46" s="149"/>
      <c r="C46" s="153"/>
      <c r="D46" s="153"/>
      <c r="E46" s="153"/>
      <c r="F46" s="153"/>
    </row>
    <row r="47" spans="1:6" ht="18.75">
      <c r="A47" s="159" t="s">
        <v>49</v>
      </c>
      <c r="B47" s="147">
        <v>421000</v>
      </c>
      <c r="C47" s="91"/>
      <c r="D47" s="91"/>
      <c r="E47" s="91"/>
      <c r="F47" s="91"/>
    </row>
    <row r="48" spans="1:6" ht="18.75">
      <c r="A48" s="160" t="s">
        <v>138</v>
      </c>
      <c r="B48" s="146">
        <v>421002</v>
      </c>
      <c r="C48" s="91">
        <v>7515000</v>
      </c>
      <c r="D48" s="91">
        <v>124790.25</v>
      </c>
      <c r="E48" s="91">
        <f>1216210.58+580033.34+124790.25</f>
        <v>1921034.17</v>
      </c>
      <c r="F48" s="91">
        <f>E48-C48</f>
        <v>-5593965.83</v>
      </c>
    </row>
    <row r="49" spans="1:6" ht="18.75">
      <c r="A49" s="160" t="s">
        <v>86</v>
      </c>
      <c r="B49" s="146">
        <v>421004</v>
      </c>
      <c r="C49" s="91">
        <v>2300000</v>
      </c>
      <c r="D49" s="91">
        <v>195488.08</v>
      </c>
      <c r="E49" s="91">
        <f>215154.87+283683.71+195488.08</f>
        <v>694326.66</v>
      </c>
      <c r="F49" s="91">
        <f aca="true" t="shared" si="1" ref="F49:F55">E49-C49</f>
        <v>-1605673.3399999999</v>
      </c>
    </row>
    <row r="50" spans="1:6" ht="18.75">
      <c r="A50" s="160" t="s">
        <v>50</v>
      </c>
      <c r="B50" s="146">
        <v>421005</v>
      </c>
      <c r="C50" s="91">
        <v>89000</v>
      </c>
      <c r="D50" s="238">
        <v>30109.92</v>
      </c>
      <c r="E50" s="91">
        <f>26703.05+30109.92</f>
        <v>56812.97</v>
      </c>
      <c r="F50" s="91">
        <f t="shared" si="1"/>
        <v>-32187.03</v>
      </c>
    </row>
    <row r="51" spans="1:6" ht="18.75">
      <c r="A51" s="160" t="s">
        <v>51</v>
      </c>
      <c r="B51" s="146">
        <v>421006</v>
      </c>
      <c r="C51" s="91">
        <v>965000</v>
      </c>
      <c r="D51" s="91">
        <v>123585.2</v>
      </c>
      <c r="E51" s="91">
        <f>71990.7+151323.97+123585.2</f>
        <v>346899.87</v>
      </c>
      <c r="F51" s="91">
        <f t="shared" si="1"/>
        <v>-618100.13</v>
      </c>
    </row>
    <row r="52" spans="1:6" ht="18.75">
      <c r="A52" s="160" t="s">
        <v>52</v>
      </c>
      <c r="B52" s="146">
        <v>421007</v>
      </c>
      <c r="C52" s="91">
        <v>2052500</v>
      </c>
      <c r="D52" s="91">
        <v>150548.16</v>
      </c>
      <c r="E52" s="91">
        <f>161519.83+164661.93+150548.16</f>
        <v>476729.92000000004</v>
      </c>
      <c r="F52" s="91">
        <f t="shared" si="1"/>
        <v>-1575770.08</v>
      </c>
    </row>
    <row r="53" spans="1:6" ht="18.75">
      <c r="A53" s="160" t="s">
        <v>87</v>
      </c>
      <c r="B53" s="146">
        <v>421012</v>
      </c>
      <c r="C53" s="91">
        <v>30000</v>
      </c>
      <c r="D53" s="238">
        <v>0</v>
      </c>
      <c r="E53" s="91">
        <v>14576.48</v>
      </c>
      <c r="F53" s="91">
        <f t="shared" si="1"/>
        <v>-15423.52</v>
      </c>
    </row>
    <row r="54" spans="1:6" ht="18.75">
      <c r="A54" s="160" t="s">
        <v>88</v>
      </c>
      <c r="B54" s="146">
        <v>421013</v>
      </c>
      <c r="C54" s="91">
        <v>70000</v>
      </c>
      <c r="D54" s="238">
        <v>0</v>
      </c>
      <c r="E54" s="91">
        <v>26735.31</v>
      </c>
      <c r="F54" s="91">
        <f t="shared" si="1"/>
        <v>-43264.69</v>
      </c>
    </row>
    <row r="55" spans="1:6" ht="18.75">
      <c r="A55" s="160" t="s">
        <v>141</v>
      </c>
      <c r="B55" s="146">
        <v>421015</v>
      </c>
      <c r="C55" s="91">
        <v>548500</v>
      </c>
      <c r="D55" s="91">
        <v>19554</v>
      </c>
      <c r="E55" s="91">
        <f>28172+13877+54077+19554</f>
        <v>115680</v>
      </c>
      <c r="F55" s="91">
        <f t="shared" si="1"/>
        <v>-432820</v>
      </c>
    </row>
    <row r="56" spans="1:6" ht="19.5" thickBot="1">
      <c r="A56" s="161" t="s">
        <v>20</v>
      </c>
      <c r="B56" s="146"/>
      <c r="C56" s="148">
        <f>SUM(C48:C55)</f>
        <v>13570000</v>
      </c>
      <c r="D56" s="148">
        <f>SUM(D48:D55)</f>
        <v>644075.61</v>
      </c>
      <c r="E56" s="148">
        <f>SUM(E48:E55)</f>
        <v>3652795.3800000004</v>
      </c>
      <c r="F56" s="148">
        <f>SUM(F48:F55)</f>
        <v>-9917204.62</v>
      </c>
    </row>
    <row r="57" spans="1:6" ht="19.5" thickTop="1">
      <c r="A57" s="166" t="s">
        <v>89</v>
      </c>
      <c r="B57" s="146"/>
      <c r="C57" s="150"/>
      <c r="D57" s="150"/>
      <c r="E57" s="150"/>
      <c r="F57" s="150"/>
    </row>
    <row r="58" spans="1:6" ht="18.75">
      <c r="A58" s="159" t="s">
        <v>384</v>
      </c>
      <c r="B58" s="154">
        <v>431000</v>
      </c>
      <c r="C58" s="91"/>
      <c r="D58" s="91"/>
      <c r="E58" s="91"/>
      <c r="F58" s="91"/>
    </row>
    <row r="59" spans="1:6" ht="18.75">
      <c r="A59" s="160" t="s">
        <v>90</v>
      </c>
      <c r="B59" s="146">
        <v>431002</v>
      </c>
      <c r="C59" s="91">
        <v>8307200</v>
      </c>
      <c r="D59" s="91">
        <v>567440</v>
      </c>
      <c r="E59" s="91">
        <f>7732013+567440</f>
        <v>8299453</v>
      </c>
      <c r="F59" s="91">
        <f>E59-C59</f>
        <v>-7747</v>
      </c>
    </row>
    <row r="60" spans="1:6" ht="18.75">
      <c r="A60" s="160" t="s">
        <v>91</v>
      </c>
      <c r="B60" s="146"/>
      <c r="C60" s="91"/>
      <c r="D60" s="91"/>
      <c r="E60" s="91"/>
      <c r="F60" s="91"/>
    </row>
    <row r="61" spans="1:6" ht="19.5" thickBot="1">
      <c r="A61" s="161" t="s">
        <v>20</v>
      </c>
      <c r="B61" s="146"/>
      <c r="C61" s="148">
        <f>SUM(C59)</f>
        <v>8307200</v>
      </c>
      <c r="D61" s="148">
        <f>SUM(D59:D60)</f>
        <v>567440</v>
      </c>
      <c r="E61" s="148">
        <f>SUM(E59:E60)</f>
        <v>8299453</v>
      </c>
      <c r="F61" s="148">
        <f>SUM(F59:F60)</f>
        <v>-7747</v>
      </c>
    </row>
    <row r="62" spans="1:6" ht="19.5" thickTop="1">
      <c r="A62" s="161" t="s">
        <v>53</v>
      </c>
      <c r="B62" s="146"/>
      <c r="C62" s="155">
        <f>C12+C23+C26+C31+C34+C56+C61</f>
        <v>22500700</v>
      </c>
      <c r="D62" s="155">
        <f>SUM(D12+D23+D26+D31+D56+D61)</f>
        <v>1298736.94</v>
      </c>
      <c r="E62" s="155">
        <f>SUM(E12+E23+E26+E31+E34+E56+E61)</f>
        <v>12154906.67</v>
      </c>
      <c r="F62" s="155">
        <f>E62-C62</f>
        <v>-10345793.33</v>
      </c>
    </row>
    <row r="63" spans="1:6" ht="18.75">
      <c r="A63" s="166" t="s">
        <v>464</v>
      </c>
      <c r="B63" s="146"/>
      <c r="C63" s="150"/>
      <c r="D63" s="150"/>
      <c r="E63" s="150"/>
      <c r="F63" s="150"/>
    </row>
    <row r="64" spans="1:6" ht="18.75">
      <c r="A64" s="159" t="s">
        <v>462</v>
      </c>
      <c r="B64" s="154">
        <v>441000</v>
      </c>
      <c r="C64" s="91"/>
      <c r="D64" s="91"/>
      <c r="E64" s="91"/>
      <c r="F64" s="91"/>
    </row>
    <row r="65" spans="1:6" ht="18.75">
      <c r="A65" s="160" t="s">
        <v>463</v>
      </c>
      <c r="B65" s="146">
        <v>441002</v>
      </c>
      <c r="C65" s="91">
        <v>0</v>
      </c>
      <c r="D65" s="91">
        <v>3360600</v>
      </c>
      <c r="E65" s="91">
        <v>3360600</v>
      </c>
      <c r="F65" s="91">
        <f>E65-C65</f>
        <v>3360600</v>
      </c>
    </row>
    <row r="66" spans="1:6" ht="18.75">
      <c r="A66" s="160" t="s">
        <v>465</v>
      </c>
      <c r="B66" s="146">
        <v>441002</v>
      </c>
      <c r="C66" s="91"/>
      <c r="D66" s="91">
        <v>455000</v>
      </c>
      <c r="E66" s="91">
        <v>455000</v>
      </c>
      <c r="F66" s="91">
        <v>455000</v>
      </c>
    </row>
    <row r="67" spans="1:6" ht="18.75">
      <c r="A67" s="160" t="s">
        <v>494</v>
      </c>
      <c r="B67" s="146">
        <v>441001</v>
      </c>
      <c r="C67" s="91"/>
      <c r="D67" s="91">
        <v>75060</v>
      </c>
      <c r="E67" s="91">
        <f>75060</f>
        <v>75060</v>
      </c>
      <c r="F67" s="91">
        <f>SUM(E67-C67)</f>
        <v>75060</v>
      </c>
    </row>
    <row r="68" spans="1:6" ht="19.5" thickBot="1">
      <c r="A68" s="161" t="s">
        <v>20</v>
      </c>
      <c r="B68" s="146"/>
      <c r="C68" s="148">
        <f>SUM(C65)</f>
        <v>0</v>
      </c>
      <c r="D68" s="148">
        <f>SUM(D65:D66)</f>
        <v>3815600</v>
      </c>
      <c r="E68" s="148">
        <f>SUM(E65:E66)</f>
        <v>3815600</v>
      </c>
      <c r="F68" s="148">
        <f>SUM(F65:F66)</f>
        <v>3815600</v>
      </c>
    </row>
    <row r="69" ht="18" thickTop="1"/>
  </sheetData>
  <sheetProtection/>
  <mergeCells count="17">
    <mergeCell ref="D5:D6"/>
    <mergeCell ref="E5:E6"/>
    <mergeCell ref="A5:A6"/>
    <mergeCell ref="A43:F43"/>
    <mergeCell ref="A35:F35"/>
    <mergeCell ref="B5:B6"/>
    <mergeCell ref="C5:C6"/>
    <mergeCell ref="A1:F1"/>
    <mergeCell ref="A2:F2"/>
    <mergeCell ref="A3:F3"/>
    <mergeCell ref="A4:F4"/>
    <mergeCell ref="E44:E45"/>
    <mergeCell ref="A42:F42"/>
    <mergeCell ref="A44:A45"/>
    <mergeCell ref="B44:B45"/>
    <mergeCell ref="C44:C45"/>
    <mergeCell ref="D44:D45"/>
  </mergeCells>
  <printOptions/>
  <pageMargins left="0.3937007874015748" right="0.11811023622047245" top="0.5511811023622047" bottom="0.7480314960629921" header="0.31496062992125984" footer="0.31496062992125984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6"/>
  <sheetViews>
    <sheetView view="pageBreakPreview" zoomScaleSheetLayoutView="100" zoomScalePageLayoutView="0" workbookViewId="0" topLeftCell="A1">
      <selection activeCell="A15" sqref="A15"/>
    </sheetView>
  </sheetViews>
  <sheetFormatPr defaultColWidth="9.140625" defaultRowHeight="18" customHeight="1"/>
  <cols>
    <col min="1" max="1" width="60.28125" style="58" customWidth="1"/>
    <col min="2" max="2" width="16.57421875" style="62" customWidth="1"/>
    <col min="3" max="3" width="17.28125" style="62" customWidth="1"/>
    <col min="4" max="16384" width="9.140625" style="58" customWidth="1"/>
  </cols>
  <sheetData>
    <row r="1" spans="1:3" ht="18" customHeight="1">
      <c r="A1" s="280" t="s">
        <v>59</v>
      </c>
      <c r="B1" s="280"/>
      <c r="C1" s="280"/>
    </row>
    <row r="2" spans="1:3" ht="18" customHeight="1">
      <c r="A2" s="280" t="s">
        <v>60</v>
      </c>
      <c r="B2" s="280"/>
      <c r="C2" s="280"/>
    </row>
    <row r="3" spans="1:3" ht="18" customHeight="1">
      <c r="A3" s="310" t="s">
        <v>496</v>
      </c>
      <c r="B3" s="310"/>
      <c r="C3" s="310"/>
    </row>
    <row r="4" spans="1:3" ht="18" customHeight="1">
      <c r="A4" s="53" t="s">
        <v>25</v>
      </c>
      <c r="B4" s="53" t="s">
        <v>28</v>
      </c>
      <c r="C4" s="53" t="s">
        <v>61</v>
      </c>
    </row>
    <row r="5" spans="1:3" ht="18" customHeight="1">
      <c r="A5" s="60" t="s">
        <v>11</v>
      </c>
      <c r="B5" s="54"/>
      <c r="C5" s="54"/>
    </row>
    <row r="6" spans="1:3" ht="18" customHeight="1">
      <c r="A6" s="56" t="s">
        <v>132</v>
      </c>
      <c r="B6" s="55">
        <v>731296.94</v>
      </c>
      <c r="C6" s="55">
        <f>2392677.27+731479.46+731296.94</f>
        <v>3855453.67</v>
      </c>
    </row>
    <row r="7" spans="1:3" ht="18" customHeight="1">
      <c r="A7" s="56" t="s">
        <v>469</v>
      </c>
      <c r="B7" s="55">
        <v>567440</v>
      </c>
      <c r="C7" s="55">
        <f>7732013+567440</f>
        <v>8299453</v>
      </c>
    </row>
    <row r="8" spans="1:3" ht="18" customHeight="1">
      <c r="A8" s="56" t="s">
        <v>470</v>
      </c>
      <c r="B8" s="55">
        <v>75060</v>
      </c>
      <c r="C8" s="55">
        <f>3815600+75060</f>
        <v>3890660</v>
      </c>
    </row>
    <row r="9" spans="1:3" ht="18" customHeight="1">
      <c r="A9" s="56" t="s">
        <v>62</v>
      </c>
      <c r="B9" s="55">
        <v>70048.95</v>
      </c>
      <c r="C9" s="55">
        <f>16046.56+10836.82+70048.95</f>
        <v>96932.32999999999</v>
      </c>
    </row>
    <row r="10" spans="1:3" ht="18" customHeight="1">
      <c r="A10" s="56" t="s">
        <v>411</v>
      </c>
      <c r="B10" s="55">
        <v>130000</v>
      </c>
      <c r="C10" s="55">
        <f>266000+189000+130000</f>
        <v>585000</v>
      </c>
    </row>
    <row r="11" spans="1:3" ht="18" customHeight="1">
      <c r="A11" s="56" t="s">
        <v>448</v>
      </c>
      <c r="B11" s="55">
        <v>0</v>
      </c>
      <c r="C11" s="55">
        <v>6750</v>
      </c>
    </row>
    <row r="12" spans="1:3" ht="18" customHeight="1">
      <c r="A12" s="56" t="s">
        <v>471</v>
      </c>
      <c r="B12" s="55">
        <v>56160</v>
      </c>
      <c r="C12" s="55">
        <f>1951300+56160</f>
        <v>2007460</v>
      </c>
    </row>
    <row r="13" spans="1:3" ht="18" customHeight="1">
      <c r="A13" s="56" t="s">
        <v>412</v>
      </c>
      <c r="B13" s="55">
        <v>799250</v>
      </c>
      <c r="C13" s="55">
        <f>34200+19000+799250</f>
        <v>852450</v>
      </c>
    </row>
    <row r="14" spans="1:3" ht="18" customHeight="1" thickBot="1">
      <c r="A14" s="57" t="s">
        <v>20</v>
      </c>
      <c r="B14" s="59">
        <f>SUM(B6:B13)</f>
        <v>2429255.8899999997</v>
      </c>
      <c r="C14" s="59">
        <f>SUM(C6:C13)</f>
        <v>19594159</v>
      </c>
    </row>
    <row r="15" spans="1:3" ht="18" customHeight="1" thickTop="1">
      <c r="A15" s="61" t="s">
        <v>34</v>
      </c>
      <c r="B15" s="92"/>
      <c r="C15" s="55"/>
    </row>
    <row r="16" spans="1:3" ht="18" customHeight="1">
      <c r="A16" s="56" t="s">
        <v>449</v>
      </c>
      <c r="B16" s="44">
        <v>1501338.03</v>
      </c>
      <c r="C16" s="55">
        <f>2741961.26+959233.04+1501338.03</f>
        <v>5202532.33</v>
      </c>
    </row>
    <row r="17" spans="1:3" ht="18" customHeight="1">
      <c r="A17" s="56" t="s">
        <v>414</v>
      </c>
      <c r="B17" s="44">
        <v>806850</v>
      </c>
      <c r="C17" s="55">
        <f>38200+15000+806850</f>
        <v>860050</v>
      </c>
    </row>
    <row r="18" spans="1:3" ht="18" customHeight="1">
      <c r="A18" s="56" t="s">
        <v>413</v>
      </c>
      <c r="B18" s="44">
        <v>180000</v>
      </c>
      <c r="C18" s="55">
        <f>305000+139000+180000</f>
        <v>624000</v>
      </c>
    </row>
    <row r="19" spans="1:3" ht="18" customHeight="1">
      <c r="A19" s="56" t="s">
        <v>63</v>
      </c>
      <c r="B19" s="55">
        <v>79973.73</v>
      </c>
      <c r="C19" s="55">
        <f>10760.56+10804.7+79973.73</f>
        <v>101538.98999999999</v>
      </c>
    </row>
    <row r="20" spans="1:3" ht="18" customHeight="1">
      <c r="A20" s="56" t="s">
        <v>134</v>
      </c>
      <c r="B20" s="55">
        <v>0</v>
      </c>
      <c r="C20" s="55">
        <v>362365.73</v>
      </c>
    </row>
    <row r="21" spans="1:3" ht="18" customHeight="1">
      <c r="A21" s="56" t="s">
        <v>133</v>
      </c>
      <c r="B21" s="55">
        <v>720</v>
      </c>
      <c r="C21" s="55">
        <f>1338920+667820+720</f>
        <v>2007460</v>
      </c>
    </row>
    <row r="22" spans="1:3" ht="18" customHeight="1">
      <c r="A22" s="56" t="s">
        <v>472</v>
      </c>
      <c r="B22" s="55">
        <v>718660</v>
      </c>
      <c r="C22" s="55">
        <f>1950800+718660</f>
        <v>2669460</v>
      </c>
    </row>
    <row r="23" spans="1:3" ht="18" customHeight="1">
      <c r="A23" s="56" t="s">
        <v>473</v>
      </c>
      <c r="B23" s="55">
        <v>383000</v>
      </c>
      <c r="C23" s="55">
        <f>840000+383000</f>
        <v>1223000</v>
      </c>
    </row>
    <row r="24" spans="1:3" ht="18" customHeight="1" thickBot="1">
      <c r="A24" s="57" t="s">
        <v>20</v>
      </c>
      <c r="B24" s="59">
        <f>SUM(B16:B23)</f>
        <v>3670541.7600000002</v>
      </c>
      <c r="C24" s="59">
        <f>SUM(C16:C23)</f>
        <v>13050407.05</v>
      </c>
    </row>
    <row r="25" spans="1:3" ht="18" customHeight="1" thickBot="1" thickTop="1">
      <c r="A25" s="57" t="s">
        <v>64</v>
      </c>
      <c r="B25" s="59">
        <f>B14-B24</f>
        <v>-1241285.8700000006</v>
      </c>
      <c r="C25" s="59">
        <f>C14-C24</f>
        <v>6543751.949999999</v>
      </c>
    </row>
    <row r="26" spans="1:3" ht="18" customHeight="1" thickTop="1">
      <c r="A26" s="262"/>
      <c r="B26" s="263"/>
      <c r="C26" s="263"/>
    </row>
    <row r="27" spans="1:5" ht="18" customHeight="1">
      <c r="A27" s="6" t="s">
        <v>12</v>
      </c>
      <c r="B27" s="16"/>
      <c r="C27" s="22"/>
      <c r="D27" s="22"/>
      <c r="E27" s="22"/>
    </row>
    <row r="28" spans="1:5" ht="18" customHeight="1">
      <c r="A28" s="48" t="s">
        <v>13</v>
      </c>
      <c r="B28" s="16"/>
      <c r="C28" s="22"/>
      <c r="D28" s="22"/>
      <c r="E28" s="21"/>
    </row>
    <row r="29" spans="1:5" ht="18" customHeight="1">
      <c r="A29" s="48"/>
      <c r="B29" s="16"/>
      <c r="C29" s="22"/>
      <c r="D29" s="22"/>
      <c r="E29" s="21"/>
    </row>
    <row r="30" spans="1:5" ht="18" customHeight="1">
      <c r="A30" s="291" t="s">
        <v>65</v>
      </c>
      <c r="B30" s="291"/>
      <c r="C30" s="291"/>
      <c r="D30" s="17"/>
      <c r="E30" s="17"/>
    </row>
    <row r="31" spans="1:5" ht="18" customHeight="1">
      <c r="A31" s="291" t="s">
        <v>97</v>
      </c>
      <c r="B31" s="291"/>
      <c r="C31" s="291"/>
      <c r="D31" s="17"/>
      <c r="E31" s="17"/>
    </row>
    <row r="32" spans="1:5" ht="18" customHeight="1">
      <c r="A32" s="291" t="s">
        <v>14</v>
      </c>
      <c r="B32" s="291"/>
      <c r="C32" s="291"/>
      <c r="D32" s="17"/>
      <c r="E32" s="17"/>
    </row>
    <row r="33" spans="1:5" ht="18" customHeight="1">
      <c r="A33" s="6"/>
      <c r="B33" s="16"/>
      <c r="C33" s="22"/>
      <c r="D33" s="22"/>
      <c r="E33" s="6"/>
    </row>
    <row r="34" spans="1:5" s="1" customFormat="1" ht="18" customHeight="1">
      <c r="A34" s="291" t="s">
        <v>135</v>
      </c>
      <c r="B34" s="291"/>
      <c r="C34" s="291"/>
      <c r="D34" s="17"/>
      <c r="E34" s="17"/>
    </row>
    <row r="35" spans="1:5" s="1" customFormat="1" ht="18" customHeight="1">
      <c r="A35" s="291" t="s">
        <v>15</v>
      </c>
      <c r="B35" s="291"/>
      <c r="C35" s="291"/>
      <c r="D35" s="17"/>
      <c r="E35" s="17"/>
    </row>
    <row r="36" spans="1:5" s="1" customFormat="1" ht="18" customHeight="1">
      <c r="A36" s="290">
        <v>239997</v>
      </c>
      <c r="B36" s="290"/>
      <c r="C36" s="290"/>
      <c r="D36" s="17"/>
      <c r="E36" s="17"/>
    </row>
  </sheetData>
  <sheetProtection/>
  <mergeCells count="9">
    <mergeCell ref="A36:C36"/>
    <mergeCell ref="A31:C31"/>
    <mergeCell ref="A32:C32"/>
    <mergeCell ref="A34:C34"/>
    <mergeCell ref="A35:C35"/>
    <mergeCell ref="A1:C1"/>
    <mergeCell ref="A2:C2"/>
    <mergeCell ref="A3:C3"/>
    <mergeCell ref="A30:C30"/>
  </mergeCells>
  <printOptions/>
  <pageMargins left="0.7086614173228347" right="0.31496062992125984" top="0.7480314960629921" bottom="0.7480314960629921" header="0.31496062992125984" footer="0.31496062992125984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2"/>
  <sheetViews>
    <sheetView view="pageBreakPreview" zoomScaleSheetLayoutView="100" zoomScalePageLayoutView="0" workbookViewId="0" topLeftCell="A22">
      <selection activeCell="E24" sqref="E24"/>
    </sheetView>
  </sheetViews>
  <sheetFormatPr defaultColWidth="9.140625" defaultRowHeight="12.75"/>
  <cols>
    <col min="1" max="1" width="11.421875" style="100" customWidth="1"/>
    <col min="2" max="2" width="7.7109375" style="58" customWidth="1"/>
    <col min="3" max="3" width="9.7109375" style="100" customWidth="1"/>
    <col min="4" max="5" width="6.7109375" style="58" customWidth="1"/>
    <col min="6" max="6" width="11.28125" style="58" customWidth="1"/>
    <col min="7" max="8" width="7.7109375" style="58" customWidth="1"/>
    <col min="9" max="9" width="7.57421875" style="58" customWidth="1"/>
    <col min="10" max="10" width="20.140625" style="58" customWidth="1"/>
    <col min="11" max="16384" width="9.140625" style="58" customWidth="1"/>
  </cols>
  <sheetData>
    <row r="1" spans="1:10" ht="23.25">
      <c r="A1" s="93"/>
      <c r="B1" s="63"/>
      <c r="C1" s="93"/>
      <c r="D1" s="63"/>
      <c r="E1" s="63"/>
      <c r="F1" s="63"/>
      <c r="G1" s="101"/>
      <c r="H1" s="63"/>
      <c r="I1" s="63"/>
      <c r="J1" s="64"/>
    </row>
    <row r="2" spans="1:10" ht="23.25">
      <c r="A2" s="312" t="s">
        <v>66</v>
      </c>
      <c r="B2" s="312"/>
      <c r="C2" s="312"/>
      <c r="D2" s="312"/>
      <c r="E2" s="312"/>
      <c r="F2" s="312"/>
      <c r="G2" s="311" t="s">
        <v>67</v>
      </c>
      <c r="H2" s="312"/>
      <c r="I2" s="312"/>
      <c r="J2" s="312"/>
    </row>
    <row r="3" spans="1:10" ht="23.25">
      <c r="A3" s="312" t="s">
        <v>68</v>
      </c>
      <c r="B3" s="312"/>
      <c r="C3" s="312"/>
      <c r="D3" s="312"/>
      <c r="E3" s="312"/>
      <c r="F3" s="312"/>
      <c r="G3" s="311" t="s">
        <v>95</v>
      </c>
      <c r="H3" s="312"/>
      <c r="I3" s="312"/>
      <c r="J3" s="312"/>
    </row>
    <row r="4" spans="1:10" ht="23.25">
      <c r="A4" s="94"/>
      <c r="B4" s="65"/>
      <c r="C4" s="94"/>
      <c r="D4" s="65"/>
      <c r="E4" s="65"/>
      <c r="F4" s="65"/>
      <c r="G4" s="102"/>
      <c r="H4" s="65"/>
      <c r="I4" s="65"/>
      <c r="J4" s="65"/>
    </row>
    <row r="5" spans="1:10" ht="23.25">
      <c r="A5" s="313" t="s">
        <v>497</v>
      </c>
      <c r="B5" s="313"/>
      <c r="C5" s="313"/>
      <c r="D5" s="313"/>
      <c r="E5" s="313"/>
      <c r="F5" s="314"/>
      <c r="G5" s="66"/>
      <c r="H5" s="66"/>
      <c r="I5" s="66"/>
      <c r="J5" s="67">
        <v>23351891.91</v>
      </c>
    </row>
    <row r="6" spans="1:10" ht="23.25">
      <c r="A6" s="95"/>
      <c r="B6" s="68"/>
      <c r="C6" s="95"/>
      <c r="D6" s="68"/>
      <c r="E6" s="68"/>
      <c r="F6" s="69"/>
      <c r="G6" s="66"/>
      <c r="H6" s="66"/>
      <c r="I6" s="66"/>
      <c r="J6" s="67"/>
    </row>
    <row r="7" spans="1:10" ht="23.25">
      <c r="A7" s="95"/>
      <c r="B7" s="68"/>
      <c r="C7" s="95"/>
      <c r="D7" s="68"/>
      <c r="E7" s="68"/>
      <c r="F7" s="69"/>
      <c r="G7" s="66"/>
      <c r="H7" s="66"/>
      <c r="I7" s="66"/>
      <c r="J7" s="67"/>
    </row>
    <row r="8" spans="1:10" ht="23.25">
      <c r="A8" s="319" t="s">
        <v>69</v>
      </c>
      <c r="B8" s="319"/>
      <c r="C8" s="319"/>
      <c r="D8" s="319"/>
      <c r="E8" s="319"/>
      <c r="F8" s="69"/>
      <c r="G8" s="66"/>
      <c r="H8" s="66"/>
      <c r="I8" s="66"/>
      <c r="J8" s="67"/>
    </row>
    <row r="9" spans="1:10" ht="23.25">
      <c r="A9" s="97" t="s">
        <v>70</v>
      </c>
      <c r="B9" s="70"/>
      <c r="C9" s="97" t="s">
        <v>71</v>
      </c>
      <c r="D9" s="70"/>
      <c r="E9" s="70"/>
      <c r="F9" s="71" t="s">
        <v>72</v>
      </c>
      <c r="G9" s="66"/>
      <c r="H9" s="66"/>
      <c r="I9" s="66"/>
      <c r="J9" s="67"/>
    </row>
    <row r="10" spans="1:10" ht="23.25">
      <c r="A10" s="97" t="s">
        <v>498</v>
      </c>
      <c r="B10" s="70"/>
      <c r="C10" s="97" t="s">
        <v>499</v>
      </c>
      <c r="D10" s="70"/>
      <c r="E10" s="70"/>
      <c r="F10" s="71">
        <v>379420.56</v>
      </c>
      <c r="G10" s="66"/>
      <c r="H10" s="66"/>
      <c r="I10" s="66"/>
      <c r="J10" s="67"/>
    </row>
    <row r="11" spans="1:10" ht="23.25">
      <c r="A11" s="97" t="s">
        <v>500</v>
      </c>
      <c r="B11" s="70"/>
      <c r="C11" s="97" t="s">
        <v>501</v>
      </c>
      <c r="D11" s="70"/>
      <c r="E11" s="70"/>
      <c r="F11" s="72">
        <v>2840</v>
      </c>
      <c r="G11" s="66"/>
      <c r="H11" s="66"/>
      <c r="I11" s="66"/>
      <c r="J11" s="73"/>
    </row>
    <row r="12" spans="1:10" ht="23.25">
      <c r="A12" s="97"/>
      <c r="B12" s="70"/>
      <c r="C12" s="97" t="s">
        <v>502</v>
      </c>
      <c r="D12" s="70"/>
      <c r="E12" s="70"/>
      <c r="F12" s="72">
        <v>3550</v>
      </c>
      <c r="G12" s="66"/>
      <c r="H12" s="66"/>
      <c r="I12" s="66"/>
      <c r="J12" s="73"/>
    </row>
    <row r="13" spans="1:10" ht="23.25">
      <c r="A13" s="97"/>
      <c r="B13" s="70"/>
      <c r="C13" s="97" t="s">
        <v>503</v>
      </c>
      <c r="D13" s="70"/>
      <c r="E13" s="70"/>
      <c r="F13" s="72">
        <v>11000</v>
      </c>
      <c r="G13" s="66"/>
      <c r="H13" s="66"/>
      <c r="I13" s="66"/>
      <c r="J13" s="67"/>
    </row>
    <row r="14" spans="1:10" ht="23.25">
      <c r="A14" s="97"/>
      <c r="B14" s="70"/>
      <c r="C14" s="97" t="s">
        <v>504</v>
      </c>
      <c r="D14" s="70"/>
      <c r="E14" s="70"/>
      <c r="F14" s="72">
        <v>1150</v>
      </c>
      <c r="G14" s="66"/>
      <c r="H14" s="66"/>
      <c r="I14" s="66"/>
      <c r="J14" s="67"/>
    </row>
    <row r="15" spans="1:10" ht="23.25">
      <c r="A15" s="97" t="s">
        <v>505</v>
      </c>
      <c r="B15" s="70"/>
      <c r="C15" s="97" t="s">
        <v>506</v>
      </c>
      <c r="D15" s="70"/>
      <c r="E15" s="70"/>
      <c r="F15" s="72">
        <v>10576</v>
      </c>
      <c r="G15" s="66"/>
      <c r="H15" s="66"/>
      <c r="I15" s="66"/>
      <c r="J15" s="67"/>
    </row>
    <row r="16" spans="1:10" ht="23.25">
      <c r="A16" s="97"/>
      <c r="B16" s="70"/>
      <c r="C16" s="97" t="s">
        <v>507</v>
      </c>
      <c r="D16" s="70"/>
      <c r="E16" s="70"/>
      <c r="F16" s="72">
        <v>8018.15</v>
      </c>
      <c r="G16" s="66"/>
      <c r="H16" s="66"/>
      <c r="I16" s="66"/>
      <c r="J16" s="67">
        <v>416554.71</v>
      </c>
    </row>
    <row r="17" spans="1:10" ht="23.25">
      <c r="A17" s="97"/>
      <c r="B17" s="70"/>
      <c r="C17" s="97"/>
      <c r="D17" s="70"/>
      <c r="E17" s="70"/>
      <c r="F17" s="72"/>
      <c r="G17" s="66"/>
      <c r="H17" s="66"/>
      <c r="I17" s="66"/>
      <c r="J17" s="67"/>
    </row>
    <row r="18" spans="1:10" ht="23.25">
      <c r="A18" s="97"/>
      <c r="B18" s="70"/>
      <c r="C18" s="97"/>
      <c r="D18" s="70"/>
      <c r="E18" s="70"/>
      <c r="F18" s="72"/>
      <c r="G18" s="66"/>
      <c r="H18" s="66"/>
      <c r="I18" s="66"/>
      <c r="J18" s="67"/>
    </row>
    <row r="19" spans="1:10" ht="23.25">
      <c r="A19" s="97"/>
      <c r="B19" s="70"/>
      <c r="C19" s="97"/>
      <c r="D19" s="70"/>
      <c r="E19" s="70"/>
      <c r="F19" s="72"/>
      <c r="G19" s="66"/>
      <c r="H19" s="66"/>
      <c r="I19" s="66"/>
      <c r="J19" s="67"/>
    </row>
    <row r="20" spans="1:10" ht="23.25">
      <c r="A20" s="96"/>
      <c r="B20" s="70"/>
      <c r="C20" s="97"/>
      <c r="D20" s="70"/>
      <c r="E20" s="70"/>
      <c r="F20" s="72"/>
      <c r="G20" s="66"/>
      <c r="H20" s="66"/>
      <c r="I20" s="66"/>
      <c r="J20" s="67"/>
    </row>
    <row r="21" spans="1:10" ht="23.25">
      <c r="A21" s="70"/>
      <c r="B21" s="70"/>
      <c r="C21" s="97"/>
      <c r="D21" s="70"/>
      <c r="E21" s="70"/>
      <c r="F21" s="239"/>
      <c r="G21" s="66"/>
      <c r="H21" s="66"/>
      <c r="I21" s="66"/>
      <c r="J21" s="67"/>
    </row>
    <row r="22" spans="1:10" ht="23.25">
      <c r="A22" s="70"/>
      <c r="B22" s="70"/>
      <c r="C22" s="97"/>
      <c r="D22" s="70"/>
      <c r="E22" s="70"/>
      <c r="F22" s="239"/>
      <c r="G22" s="66"/>
      <c r="H22" s="66"/>
      <c r="I22" s="66"/>
      <c r="J22" s="67"/>
    </row>
    <row r="23" spans="1:10" ht="23.25">
      <c r="A23" s="70"/>
      <c r="B23" s="70"/>
      <c r="C23" s="97"/>
      <c r="D23" s="70"/>
      <c r="E23" s="70"/>
      <c r="F23" s="239"/>
      <c r="G23" s="66"/>
      <c r="H23" s="66"/>
      <c r="I23" s="66"/>
      <c r="J23" s="67"/>
    </row>
    <row r="24" spans="1:10" ht="23.25">
      <c r="A24" s="96" t="s">
        <v>291</v>
      </c>
      <c r="B24" s="70"/>
      <c r="C24" s="97"/>
      <c r="D24" s="70"/>
      <c r="E24" s="70"/>
      <c r="F24" s="72"/>
      <c r="G24" s="66"/>
      <c r="H24" s="66"/>
      <c r="I24" s="66"/>
      <c r="J24" s="67"/>
    </row>
    <row r="25" spans="1:10" ht="23.25">
      <c r="A25" s="96"/>
      <c r="B25" s="70"/>
      <c r="C25" s="97"/>
      <c r="D25" s="70"/>
      <c r="E25" s="70"/>
      <c r="F25" s="72"/>
      <c r="G25" s="66"/>
      <c r="H25" s="66"/>
      <c r="I25" s="66"/>
      <c r="J25" s="67"/>
    </row>
    <row r="26" spans="1:10" ht="23.25">
      <c r="A26" s="315" t="s">
        <v>508</v>
      </c>
      <c r="B26" s="315"/>
      <c r="C26" s="315"/>
      <c r="D26" s="315"/>
      <c r="E26" s="315"/>
      <c r="F26" s="316"/>
      <c r="G26" s="66"/>
      <c r="H26" s="66"/>
      <c r="I26" s="66"/>
      <c r="J26" s="67">
        <f>SUM(J5-J16)</f>
        <v>22935337.2</v>
      </c>
    </row>
    <row r="27" spans="1:10" ht="23.25">
      <c r="A27" s="96"/>
      <c r="B27" s="70"/>
      <c r="C27" s="96"/>
      <c r="D27" s="70"/>
      <c r="E27" s="70"/>
      <c r="F27" s="74"/>
      <c r="G27" s="66"/>
      <c r="H27" s="66"/>
      <c r="I27" s="66"/>
      <c r="J27" s="67"/>
    </row>
    <row r="28" spans="1:10" ht="23.25">
      <c r="A28" s="98" t="s">
        <v>73</v>
      </c>
      <c r="B28" s="75"/>
      <c r="C28" s="98"/>
      <c r="D28" s="75"/>
      <c r="E28" s="75"/>
      <c r="F28" s="76"/>
      <c r="G28" s="322" t="s">
        <v>74</v>
      </c>
      <c r="H28" s="313"/>
      <c r="I28" s="313"/>
      <c r="J28" s="313"/>
    </row>
    <row r="29" spans="1:10" ht="23.25">
      <c r="A29" s="95"/>
      <c r="B29" s="68"/>
      <c r="C29" s="95"/>
      <c r="D29" s="68"/>
      <c r="E29" s="68"/>
      <c r="F29" s="72"/>
      <c r="G29" s="68"/>
      <c r="H29" s="68"/>
      <c r="I29" s="68"/>
      <c r="J29" s="68"/>
    </row>
    <row r="30" spans="1:11" ht="23.25">
      <c r="A30" s="320" t="s">
        <v>509</v>
      </c>
      <c r="B30" s="320"/>
      <c r="C30" s="320"/>
      <c r="D30" s="320"/>
      <c r="E30" s="320"/>
      <c r="F30" s="321"/>
      <c r="G30" s="311" t="s">
        <v>510</v>
      </c>
      <c r="H30" s="312"/>
      <c r="I30" s="312"/>
      <c r="J30" s="312"/>
      <c r="K30" s="68"/>
    </row>
    <row r="31" spans="1:10" ht="23.25">
      <c r="A31" s="312" t="s">
        <v>99</v>
      </c>
      <c r="B31" s="312"/>
      <c r="C31" s="312"/>
      <c r="D31" s="312"/>
      <c r="E31" s="68"/>
      <c r="F31" s="72"/>
      <c r="G31" s="317" t="s">
        <v>94</v>
      </c>
      <c r="H31" s="318"/>
      <c r="I31" s="318"/>
      <c r="J31" s="318"/>
    </row>
    <row r="32" spans="1:10" ht="23.25">
      <c r="A32" s="99"/>
      <c r="B32" s="77"/>
      <c r="C32" s="99"/>
      <c r="D32" s="77"/>
      <c r="E32" s="77"/>
      <c r="F32" s="74"/>
      <c r="G32" s="78"/>
      <c r="H32" s="78"/>
      <c r="I32" s="78"/>
      <c r="J32" s="79"/>
    </row>
    <row r="35" ht="21.75" customHeight="1"/>
    <row r="36" ht="21.75" customHeight="1"/>
  </sheetData>
  <sheetProtection/>
  <mergeCells count="12">
    <mergeCell ref="A31:D31"/>
    <mergeCell ref="G31:J31"/>
    <mergeCell ref="A8:E8"/>
    <mergeCell ref="A30:F30"/>
    <mergeCell ref="G30:J30"/>
    <mergeCell ref="G28:J28"/>
    <mergeCell ref="G2:J2"/>
    <mergeCell ref="A3:F3"/>
    <mergeCell ref="G3:J3"/>
    <mergeCell ref="A5:F5"/>
    <mergeCell ref="A2:F2"/>
    <mergeCell ref="A26:F26"/>
  </mergeCells>
  <printOptions/>
  <pageMargins left="0.43" right="0.28" top="0.35433070866141736" bottom="1.3385826771653544" header="0.1968503937007874" footer="1.338582677165354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TOSHIBA</cp:lastModifiedBy>
  <cp:lastPrinted>2014-02-12T06:59:56Z</cp:lastPrinted>
  <dcterms:created xsi:type="dcterms:W3CDTF">1996-10-14T23:33:28Z</dcterms:created>
  <dcterms:modified xsi:type="dcterms:W3CDTF">2014-02-12T07:06:09Z</dcterms:modified>
  <cp:category/>
  <cp:version/>
  <cp:contentType/>
  <cp:contentStatus/>
</cp:coreProperties>
</file>